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THESE\2_Publications\Articles\3_Physio\Supplementary materials\"/>
    </mc:Choice>
  </mc:AlternateContent>
  <bookViews>
    <workbookView xWindow="0" yWindow="0" windowWidth="23040" windowHeight="8496" tabRatio="583" firstSheet="3" activeTab="7"/>
  </bookViews>
  <sheets>
    <sheet name="READ ME" sheetId="4" r:id="rId1"/>
    <sheet name="EQUATIONS" sheetId="10" r:id="rId2"/>
    <sheet name="RESULTS_AGE" sheetId="2" r:id="rId3"/>
    <sheet name="SUMMARY AGE SPECIFIC VOLUMES" sheetId="5" r:id="rId4"/>
    <sheet name="LIFE GROWTH_FEMALE" sheetId="9" r:id="rId5"/>
    <sheet name="LIFE GROWTH_MALE" sheetId="8" r:id="rId6"/>
    <sheet name="Figures" sheetId="11" r:id="rId7"/>
    <sheet name="SOURCES" sheetId="3" r:id="rId8"/>
  </sheets>
  <definedNames>
    <definedName name="_xlnm._FilterDatabase" localSheetId="1" hidden="1">EQUATIONS!$A$1:$AMH$1</definedName>
    <definedName name="_xlnm._FilterDatabase" localSheetId="7" hidden="1">SOURCES!$B$1:$B$13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C4" i="9" l="1"/>
  <c r="EK4" i="9"/>
  <c r="EJ4" i="8"/>
  <c r="GG4" i="9"/>
  <c r="GG5" i="9"/>
  <c r="GG6" i="9"/>
  <c r="GG7" i="9"/>
  <c r="GG8" i="9"/>
  <c r="GG9" i="9"/>
  <c r="GG10" i="9"/>
  <c r="GG11" i="9"/>
  <c r="GG12" i="9"/>
  <c r="GG13" i="9"/>
  <c r="GG14" i="9"/>
  <c r="GG15" i="9"/>
  <c r="GG16" i="9"/>
  <c r="GG17" i="9"/>
  <c r="GG18" i="9"/>
  <c r="GG19" i="9"/>
  <c r="GG20" i="9"/>
  <c r="GG21" i="9"/>
  <c r="GG22" i="9"/>
  <c r="GG23" i="9"/>
  <c r="GG24" i="9"/>
  <c r="GG25" i="9"/>
  <c r="GG26" i="9"/>
  <c r="GG27" i="9"/>
  <c r="GG28" i="9"/>
  <c r="GG29" i="9"/>
  <c r="GG30" i="9"/>
  <c r="GG31" i="9"/>
  <c r="GG32" i="9"/>
  <c r="GG33" i="9"/>
  <c r="GG34" i="9"/>
  <c r="GG35" i="9"/>
  <c r="GG36" i="9"/>
  <c r="GG37" i="9"/>
  <c r="GG38" i="9"/>
  <c r="GG39" i="9"/>
  <c r="GG40" i="9"/>
  <c r="GG41" i="9"/>
  <c r="GG42" i="9"/>
  <c r="GG43" i="9"/>
  <c r="GG44" i="9"/>
  <c r="GG45" i="9"/>
  <c r="GG46" i="9"/>
  <c r="GG47" i="9"/>
  <c r="GG48" i="9"/>
  <c r="GG49" i="9"/>
  <c r="GG50" i="9"/>
  <c r="GG51" i="9"/>
  <c r="GG52" i="9"/>
  <c r="GG53" i="9"/>
  <c r="GG54" i="9"/>
  <c r="GG55" i="9"/>
  <c r="GG56" i="9"/>
  <c r="GG57" i="9"/>
  <c r="GG58" i="9"/>
  <c r="GG59" i="9"/>
  <c r="GG60" i="9"/>
  <c r="GG61" i="9"/>
  <c r="GG62" i="9"/>
  <c r="GG63" i="9"/>
  <c r="GG64" i="9"/>
  <c r="GG65" i="9"/>
  <c r="GG66" i="9"/>
  <c r="GG67" i="9"/>
  <c r="GG68" i="9"/>
  <c r="GG69" i="9"/>
  <c r="GG70" i="9"/>
  <c r="GG71" i="9"/>
  <c r="GG72" i="9"/>
  <c r="GG73" i="9"/>
  <c r="GG74" i="9"/>
  <c r="GG75" i="9"/>
  <c r="GG76" i="9"/>
  <c r="GG77" i="9"/>
  <c r="GG78" i="9"/>
  <c r="GG79" i="9"/>
  <c r="GG80" i="9"/>
  <c r="GG81" i="9"/>
  <c r="GG82" i="9"/>
  <c r="GG83" i="9"/>
  <c r="GG84" i="9"/>
  <c r="ER5" i="8"/>
  <c r="ER6" i="8"/>
  <c r="ER7" i="8"/>
  <c r="ER8" i="8"/>
  <c r="ER9" i="8"/>
  <c r="ER10" i="8"/>
  <c r="ER11" i="8"/>
  <c r="ER12" i="8"/>
  <c r="ER13" i="8"/>
  <c r="ER14" i="8"/>
  <c r="ER15" i="8"/>
  <c r="ER16" i="8"/>
  <c r="ER17" i="8"/>
  <c r="ER18" i="8"/>
  <c r="ER19" i="8"/>
  <c r="ER20" i="8"/>
  <c r="ER21" i="8"/>
  <c r="ER22" i="8"/>
  <c r="ER23" i="8"/>
  <c r="ER24" i="8"/>
  <c r="ER25" i="8"/>
  <c r="ER26" i="8"/>
  <c r="ER27" i="8"/>
  <c r="ER28" i="8"/>
  <c r="ER29" i="8"/>
  <c r="ER30" i="8"/>
  <c r="ER31" i="8"/>
  <c r="ER32" i="8"/>
  <c r="ER33" i="8"/>
  <c r="ER34" i="8"/>
  <c r="ER35" i="8"/>
  <c r="ER36" i="8"/>
  <c r="ER37" i="8"/>
  <c r="ER38" i="8"/>
  <c r="ER39" i="8"/>
  <c r="ER40" i="8"/>
  <c r="ER41" i="8"/>
  <c r="ER42" i="8"/>
  <c r="ER43" i="8"/>
  <c r="ER44" i="8"/>
  <c r="ER45" i="8"/>
  <c r="ER46" i="8"/>
  <c r="ER47" i="8"/>
  <c r="ER48" i="8"/>
  <c r="ER49" i="8"/>
  <c r="ER50" i="8"/>
  <c r="ER51" i="8"/>
  <c r="ER52" i="8"/>
  <c r="ER53" i="8"/>
  <c r="ER54" i="8"/>
  <c r="ER55" i="8"/>
  <c r="ER56" i="8"/>
  <c r="ER57" i="8"/>
  <c r="ER58" i="8"/>
  <c r="ER59" i="8"/>
  <c r="ER60" i="8"/>
  <c r="ER61" i="8"/>
  <c r="ER62" i="8"/>
  <c r="ER63" i="8"/>
  <c r="ER64" i="8"/>
  <c r="ER65" i="8"/>
  <c r="ER66" i="8"/>
  <c r="ER67" i="8"/>
  <c r="ER68" i="8"/>
  <c r="ER69" i="8"/>
  <c r="ER70" i="8"/>
  <c r="ER71" i="8"/>
  <c r="ER72" i="8"/>
  <c r="ER73" i="8"/>
  <c r="ER74" i="8"/>
  <c r="ER75" i="8"/>
  <c r="ER76" i="8"/>
  <c r="ER77" i="8"/>
  <c r="ER78" i="8"/>
  <c r="ER79" i="8"/>
  <c r="ER80" i="8"/>
  <c r="ER81" i="8"/>
  <c r="ER82" i="8"/>
  <c r="ER83" i="8"/>
  <c r="ER84" i="8"/>
  <c r="EQ5" i="8"/>
  <c r="EQ6" i="8"/>
  <c r="EQ7" i="8"/>
  <c r="EQ8" i="8"/>
  <c r="EQ9" i="8"/>
  <c r="EQ10" i="8"/>
  <c r="EQ11" i="8"/>
  <c r="EQ12" i="8"/>
  <c r="EQ13" i="8"/>
  <c r="EQ14" i="8"/>
  <c r="EQ15" i="8"/>
  <c r="EQ16" i="8"/>
  <c r="EQ17" i="8"/>
  <c r="EQ18" i="8"/>
  <c r="EQ19" i="8"/>
  <c r="EQ20" i="8"/>
  <c r="EQ21" i="8"/>
  <c r="EQ22" i="8"/>
  <c r="EQ23" i="8"/>
  <c r="EQ24" i="8"/>
  <c r="EQ25" i="8"/>
  <c r="EQ26" i="8"/>
  <c r="EQ27" i="8"/>
  <c r="EQ28" i="8"/>
  <c r="EQ29" i="8"/>
  <c r="EQ30" i="8"/>
  <c r="EQ31" i="8"/>
  <c r="EQ32" i="8"/>
  <c r="EQ33" i="8"/>
  <c r="EQ34" i="8"/>
  <c r="EQ35" i="8"/>
  <c r="EQ36" i="8"/>
  <c r="EQ37" i="8"/>
  <c r="EQ38" i="8"/>
  <c r="EQ39" i="8"/>
  <c r="EQ40" i="8"/>
  <c r="EQ41" i="8"/>
  <c r="EQ42" i="8"/>
  <c r="EQ43" i="8"/>
  <c r="EQ44" i="8"/>
  <c r="EQ45" i="8"/>
  <c r="EQ46" i="8"/>
  <c r="EQ47" i="8"/>
  <c r="EQ48" i="8"/>
  <c r="EQ49" i="8"/>
  <c r="EQ50" i="8"/>
  <c r="EQ51" i="8"/>
  <c r="EQ52" i="8"/>
  <c r="EQ53" i="8"/>
  <c r="EQ54" i="8"/>
  <c r="EQ55" i="8"/>
  <c r="EQ56" i="8"/>
  <c r="EQ57" i="8"/>
  <c r="EQ58" i="8"/>
  <c r="EQ59" i="8"/>
  <c r="EQ60" i="8"/>
  <c r="EQ61" i="8"/>
  <c r="EQ62" i="8"/>
  <c r="EQ63" i="8"/>
  <c r="EQ64" i="8"/>
  <c r="EQ65" i="8"/>
  <c r="EQ66" i="8"/>
  <c r="EQ67" i="8"/>
  <c r="EQ68" i="8"/>
  <c r="EQ69" i="8"/>
  <c r="EQ70" i="8"/>
  <c r="EQ71" i="8"/>
  <c r="EQ72" i="8"/>
  <c r="EQ73" i="8"/>
  <c r="EQ74" i="8"/>
  <c r="EQ75" i="8"/>
  <c r="EQ76" i="8"/>
  <c r="EQ77" i="8"/>
  <c r="EQ78" i="8"/>
  <c r="EQ79" i="8"/>
  <c r="EQ80" i="8"/>
  <c r="EQ81" i="8"/>
  <c r="EQ82" i="8"/>
  <c r="EQ83" i="8"/>
  <c r="EQ84" i="8"/>
  <c r="ER4" i="8"/>
  <c r="EQ4" i="8"/>
  <c r="EJ5" i="8"/>
  <c r="EJ6" i="8"/>
  <c r="EJ7" i="8"/>
  <c r="EJ8" i="8"/>
  <c r="EJ9" i="8"/>
  <c r="EJ10" i="8"/>
  <c r="EJ11" i="8"/>
  <c r="EJ12" i="8"/>
  <c r="EJ13" i="8"/>
  <c r="EJ14" i="8"/>
  <c r="EJ15" i="8"/>
  <c r="EJ16" i="8"/>
  <c r="EJ17" i="8"/>
  <c r="EJ18" i="8"/>
  <c r="EJ19" i="8"/>
  <c r="EJ20" i="8"/>
  <c r="EJ21" i="8"/>
  <c r="EJ22" i="8"/>
  <c r="EJ23" i="8"/>
  <c r="EJ24" i="8"/>
  <c r="EJ25" i="8"/>
  <c r="EJ26" i="8"/>
  <c r="EJ27" i="8"/>
  <c r="EJ28" i="8"/>
  <c r="EJ29" i="8"/>
  <c r="EJ30" i="8"/>
  <c r="EJ31" i="8"/>
  <c r="EJ32" i="8"/>
  <c r="EJ33" i="8"/>
  <c r="EJ34" i="8"/>
  <c r="EJ35" i="8"/>
  <c r="EJ36" i="8"/>
  <c r="EJ37" i="8"/>
  <c r="EJ38" i="8"/>
  <c r="EJ39" i="8"/>
  <c r="EJ40" i="8"/>
  <c r="EJ41" i="8"/>
  <c r="EJ42" i="8"/>
  <c r="EJ43" i="8"/>
  <c r="EJ44" i="8"/>
  <c r="EJ45" i="8"/>
  <c r="EJ46" i="8"/>
  <c r="EJ47" i="8"/>
  <c r="EJ48" i="8"/>
  <c r="EJ49" i="8"/>
  <c r="EJ50" i="8"/>
  <c r="EJ51" i="8"/>
  <c r="EJ52" i="8"/>
  <c r="EJ53" i="8"/>
  <c r="EJ54" i="8"/>
  <c r="EJ55" i="8"/>
  <c r="EJ56" i="8"/>
  <c r="EJ57" i="8"/>
  <c r="EJ58" i="8"/>
  <c r="EJ59" i="8"/>
  <c r="EJ60" i="8"/>
  <c r="EJ61" i="8"/>
  <c r="EJ62" i="8"/>
  <c r="EJ63" i="8"/>
  <c r="EJ64" i="8"/>
  <c r="EJ65" i="8"/>
  <c r="EJ66" i="8"/>
  <c r="EJ67" i="8"/>
  <c r="EJ68" i="8"/>
  <c r="EJ69" i="8"/>
  <c r="EJ70" i="8"/>
  <c r="EJ71" i="8"/>
  <c r="EJ72" i="8"/>
  <c r="EJ73" i="8"/>
  <c r="EJ74" i="8"/>
  <c r="EJ75" i="8"/>
  <c r="EJ76" i="8"/>
  <c r="EJ77" i="8"/>
  <c r="EJ78" i="8"/>
  <c r="EJ79" i="8"/>
  <c r="EJ80" i="8"/>
  <c r="EJ81" i="8"/>
  <c r="EJ82" i="8"/>
  <c r="EJ83" i="8"/>
  <c r="EJ84" i="8"/>
  <c r="EK5" i="9"/>
  <c r="EK6" i="9"/>
  <c r="EK7" i="9"/>
  <c r="EK8" i="9"/>
  <c r="EK9" i="9"/>
  <c r="EK10" i="9"/>
  <c r="EK11" i="9"/>
  <c r="EK12" i="9"/>
  <c r="EK13" i="9"/>
  <c r="EK14" i="9"/>
  <c r="EK15" i="9"/>
  <c r="EK16" i="9"/>
  <c r="EK17" i="9"/>
  <c r="EK18" i="9"/>
  <c r="EK19" i="9"/>
  <c r="EK20" i="9"/>
  <c r="EK21" i="9"/>
  <c r="EK22" i="9"/>
  <c r="EK23" i="9"/>
  <c r="EK24" i="9"/>
  <c r="EK25" i="9"/>
  <c r="EK26" i="9"/>
  <c r="EK27" i="9"/>
  <c r="EK28" i="9"/>
  <c r="EK29" i="9"/>
  <c r="EK30" i="9"/>
  <c r="EK31" i="9"/>
  <c r="EK32" i="9"/>
  <c r="EK33" i="9"/>
  <c r="EK34" i="9"/>
  <c r="EK35" i="9"/>
  <c r="EK36" i="9"/>
  <c r="EK37" i="9"/>
  <c r="EK38" i="9"/>
  <c r="EK39" i="9"/>
  <c r="EK40" i="9"/>
  <c r="EK41" i="9"/>
  <c r="EK42" i="9"/>
  <c r="EK43" i="9"/>
  <c r="EK44" i="9"/>
  <c r="EK45" i="9"/>
  <c r="EK46" i="9"/>
  <c r="EK47" i="9"/>
  <c r="EK48" i="9"/>
  <c r="EK49" i="9"/>
  <c r="EK50" i="9"/>
  <c r="EK51" i="9"/>
  <c r="EK52" i="9"/>
  <c r="EK53" i="9"/>
  <c r="EK54" i="9"/>
  <c r="EK55" i="9"/>
  <c r="EK56" i="9"/>
  <c r="EK57" i="9"/>
  <c r="EK58" i="9"/>
  <c r="EK59" i="9"/>
  <c r="EK60" i="9"/>
  <c r="EK61" i="9"/>
  <c r="EK62" i="9"/>
  <c r="EK63" i="9"/>
  <c r="EK64" i="9"/>
  <c r="EK65" i="9"/>
  <c r="EK66" i="9"/>
  <c r="EK67" i="9"/>
  <c r="EK68" i="9"/>
  <c r="EK69" i="9"/>
  <c r="EK70" i="9"/>
  <c r="EK71" i="9"/>
  <c r="EK72" i="9"/>
  <c r="EK73" i="9"/>
  <c r="EK74" i="9"/>
  <c r="EK75" i="9"/>
  <c r="EK76" i="9"/>
  <c r="EK77" i="9"/>
  <c r="EK78" i="9"/>
  <c r="EK79" i="9"/>
  <c r="EK80" i="9"/>
  <c r="EK81" i="9"/>
  <c r="EK82" i="9"/>
  <c r="EK83" i="9"/>
  <c r="EK84" i="9"/>
  <c r="GO5" i="9"/>
  <c r="GO6" i="9"/>
  <c r="GO7" i="9"/>
  <c r="GO8" i="9"/>
  <c r="GO9" i="9"/>
  <c r="GO10" i="9"/>
  <c r="GO11" i="9"/>
  <c r="GO12" i="9"/>
  <c r="GO13" i="9"/>
  <c r="GO14" i="9"/>
  <c r="GO15" i="9"/>
  <c r="GO16" i="9"/>
  <c r="GO17" i="9"/>
  <c r="GO18" i="9"/>
  <c r="GO19" i="9"/>
  <c r="GO20" i="9"/>
  <c r="GO21" i="9"/>
  <c r="GO22" i="9"/>
  <c r="GO23" i="9"/>
  <c r="GO24" i="9"/>
  <c r="GO25" i="9"/>
  <c r="GO26" i="9"/>
  <c r="GO27" i="9"/>
  <c r="GO28" i="9"/>
  <c r="GO29" i="9"/>
  <c r="GO30" i="9"/>
  <c r="GO31" i="9"/>
  <c r="GO32" i="9"/>
  <c r="GO33" i="9"/>
  <c r="GO34" i="9"/>
  <c r="GO35" i="9"/>
  <c r="GO36" i="9"/>
  <c r="GO37" i="9"/>
  <c r="GO38" i="9"/>
  <c r="GO39" i="9"/>
  <c r="GO40" i="9"/>
  <c r="GO41" i="9"/>
  <c r="GO42" i="9"/>
  <c r="GO43" i="9"/>
  <c r="GO44" i="9"/>
  <c r="GO45" i="9"/>
  <c r="GO46" i="9"/>
  <c r="GO47" i="9"/>
  <c r="GO48" i="9"/>
  <c r="GO49" i="9"/>
  <c r="GO50" i="9"/>
  <c r="GO51" i="9"/>
  <c r="GO52" i="9"/>
  <c r="GO53" i="9"/>
  <c r="GO54" i="9"/>
  <c r="GO55" i="9"/>
  <c r="GO56" i="9"/>
  <c r="GO57" i="9"/>
  <c r="GO58" i="9"/>
  <c r="GO59" i="9"/>
  <c r="GO60" i="9"/>
  <c r="GO61" i="9"/>
  <c r="GO62" i="9"/>
  <c r="GO63" i="9"/>
  <c r="GO64" i="9"/>
  <c r="GO65" i="9"/>
  <c r="GO66" i="9"/>
  <c r="GO67" i="9"/>
  <c r="GO68" i="9"/>
  <c r="GO69" i="9"/>
  <c r="GO70" i="9"/>
  <c r="GO71" i="9"/>
  <c r="GO72" i="9"/>
  <c r="GO73" i="9"/>
  <c r="GO74" i="9"/>
  <c r="GO75" i="9"/>
  <c r="GO76" i="9"/>
  <c r="GO77" i="9"/>
  <c r="GO78" i="9"/>
  <c r="GO79" i="9"/>
  <c r="GO80" i="9"/>
  <c r="GO81" i="9"/>
  <c r="GO82" i="9"/>
  <c r="GO83" i="9"/>
  <c r="GO84" i="9"/>
  <c r="GO4" i="9"/>
  <c r="GN5" i="8"/>
  <c r="GO5" i="8"/>
  <c r="GN6" i="8"/>
  <c r="GO6" i="8"/>
  <c r="GN7" i="8"/>
  <c r="GO7" i="8"/>
  <c r="GN8" i="8"/>
  <c r="GO8" i="8"/>
  <c r="GN9" i="8"/>
  <c r="GO9" i="8"/>
  <c r="GN10" i="8"/>
  <c r="GO10" i="8"/>
  <c r="GN11" i="8"/>
  <c r="GO11" i="8"/>
  <c r="GN12" i="8"/>
  <c r="GO12" i="8"/>
  <c r="GN13" i="8"/>
  <c r="GO13" i="8"/>
  <c r="GN14" i="8"/>
  <c r="GO14" i="8"/>
  <c r="GN15" i="8"/>
  <c r="GO15" i="8"/>
  <c r="GN16" i="8"/>
  <c r="GO16" i="8"/>
  <c r="GN17" i="8"/>
  <c r="GO17" i="8"/>
  <c r="GN18" i="8"/>
  <c r="GO18" i="8"/>
  <c r="GN19" i="8"/>
  <c r="GO19" i="8"/>
  <c r="GN20" i="8"/>
  <c r="GO20" i="8"/>
  <c r="GN21" i="8"/>
  <c r="GO21" i="8"/>
  <c r="GN22" i="8"/>
  <c r="GO22" i="8"/>
  <c r="GN23" i="8"/>
  <c r="GO23" i="8"/>
  <c r="GN24" i="8"/>
  <c r="GO24" i="8"/>
  <c r="GN25" i="8"/>
  <c r="GO25" i="8"/>
  <c r="GN26" i="8"/>
  <c r="GO26" i="8"/>
  <c r="GN27" i="8"/>
  <c r="GO27" i="8"/>
  <c r="GN28" i="8"/>
  <c r="GO28" i="8"/>
  <c r="GN29" i="8"/>
  <c r="GO29" i="8"/>
  <c r="GN30" i="8"/>
  <c r="GO30" i="8"/>
  <c r="GN31" i="8"/>
  <c r="GO31" i="8"/>
  <c r="GN32" i="8"/>
  <c r="GO32" i="8"/>
  <c r="GN33" i="8"/>
  <c r="GO33" i="8"/>
  <c r="GN34" i="8"/>
  <c r="GO34" i="8"/>
  <c r="GN35" i="8"/>
  <c r="GO35" i="8"/>
  <c r="GN36" i="8"/>
  <c r="GO36" i="8"/>
  <c r="GN37" i="8"/>
  <c r="GO37" i="8"/>
  <c r="GN38" i="8"/>
  <c r="GO38" i="8"/>
  <c r="GN39" i="8"/>
  <c r="GO39" i="8"/>
  <c r="GN40" i="8"/>
  <c r="GO40" i="8"/>
  <c r="GN41" i="8"/>
  <c r="GO41" i="8"/>
  <c r="GN42" i="8"/>
  <c r="GO42" i="8"/>
  <c r="GN43" i="8"/>
  <c r="GO43" i="8"/>
  <c r="GN44" i="8"/>
  <c r="GO44" i="8"/>
  <c r="GN45" i="8"/>
  <c r="GO45" i="8"/>
  <c r="GN46" i="8"/>
  <c r="GO46" i="8"/>
  <c r="GN47" i="8"/>
  <c r="GO47" i="8"/>
  <c r="GN48" i="8"/>
  <c r="GO48" i="8"/>
  <c r="GN49" i="8"/>
  <c r="GO49" i="8"/>
  <c r="GN50" i="8"/>
  <c r="GO50" i="8"/>
  <c r="GN51" i="8"/>
  <c r="GO51" i="8"/>
  <c r="GN52" i="8"/>
  <c r="GO52" i="8"/>
  <c r="GN53" i="8"/>
  <c r="GO53" i="8"/>
  <c r="GN54" i="8"/>
  <c r="GO54" i="8"/>
  <c r="GN55" i="8"/>
  <c r="GO55" i="8"/>
  <c r="GN56" i="8"/>
  <c r="GO56" i="8"/>
  <c r="GN57" i="8"/>
  <c r="GO57" i="8"/>
  <c r="GN58" i="8"/>
  <c r="GO58" i="8"/>
  <c r="GN59" i="8"/>
  <c r="GO59" i="8"/>
  <c r="GN60" i="8"/>
  <c r="GO60" i="8"/>
  <c r="GN61" i="8"/>
  <c r="GO61" i="8"/>
  <c r="GN62" i="8"/>
  <c r="GO62" i="8"/>
  <c r="GN63" i="8"/>
  <c r="GO63" i="8"/>
  <c r="GN64" i="8"/>
  <c r="GO64" i="8"/>
  <c r="GN65" i="8"/>
  <c r="GO65" i="8"/>
  <c r="GN66" i="8"/>
  <c r="GO66" i="8"/>
  <c r="GN67" i="8"/>
  <c r="GO67" i="8"/>
  <c r="GN68" i="8"/>
  <c r="GO68" i="8"/>
  <c r="GN69" i="8"/>
  <c r="GO69" i="8"/>
  <c r="GN70" i="8"/>
  <c r="GO70" i="8"/>
  <c r="GN71" i="8"/>
  <c r="GO71" i="8"/>
  <c r="GN72" i="8"/>
  <c r="GO72" i="8"/>
  <c r="GN73" i="8"/>
  <c r="GO73" i="8"/>
  <c r="GN74" i="8"/>
  <c r="GO74" i="8"/>
  <c r="GN75" i="8"/>
  <c r="GO75" i="8"/>
  <c r="GN76" i="8"/>
  <c r="GO76" i="8"/>
  <c r="GN77" i="8"/>
  <c r="GO77" i="8"/>
  <c r="GN78" i="8"/>
  <c r="GO78" i="8"/>
  <c r="GN79" i="8"/>
  <c r="GO79" i="8"/>
  <c r="GN80" i="8"/>
  <c r="GO80" i="8"/>
  <c r="GN81" i="8"/>
  <c r="GO81" i="8"/>
  <c r="GN82" i="8"/>
  <c r="GO82" i="8"/>
  <c r="GN83" i="8"/>
  <c r="GO83" i="8"/>
  <c r="GN84" i="8"/>
  <c r="GO84" i="8"/>
  <c r="GO4" i="8"/>
  <c r="GN4" i="8"/>
  <c r="GF5" i="8"/>
  <c r="GG5" i="8"/>
  <c r="GF6" i="8"/>
  <c r="GG6" i="8"/>
  <c r="GF7" i="8"/>
  <c r="GG7" i="8"/>
  <c r="GF8" i="8"/>
  <c r="GG8" i="8"/>
  <c r="GF9" i="8"/>
  <c r="GG9" i="8"/>
  <c r="GF10" i="8"/>
  <c r="GG10" i="8"/>
  <c r="GF11" i="8"/>
  <c r="GG11" i="8"/>
  <c r="GF12" i="8"/>
  <c r="GG12" i="8"/>
  <c r="GF13" i="8"/>
  <c r="GG13" i="8"/>
  <c r="GF14" i="8"/>
  <c r="GG14" i="8"/>
  <c r="GF15" i="8"/>
  <c r="GG15" i="8"/>
  <c r="GF16" i="8"/>
  <c r="GG16" i="8"/>
  <c r="GF17" i="8"/>
  <c r="GG17" i="8"/>
  <c r="GF18" i="8"/>
  <c r="GG18" i="8"/>
  <c r="GF19" i="8"/>
  <c r="GG19" i="8"/>
  <c r="GF20" i="8"/>
  <c r="GG20" i="8"/>
  <c r="GF21" i="8"/>
  <c r="GG21" i="8"/>
  <c r="GF22" i="8"/>
  <c r="GG22" i="8"/>
  <c r="GF23" i="8"/>
  <c r="GG23" i="8"/>
  <c r="GF24" i="8"/>
  <c r="GG24" i="8"/>
  <c r="GF25" i="8"/>
  <c r="GG25" i="8"/>
  <c r="GF26" i="8"/>
  <c r="GG26" i="8"/>
  <c r="GF27" i="8"/>
  <c r="GG27" i="8"/>
  <c r="GF28" i="8"/>
  <c r="GG28" i="8"/>
  <c r="GF29" i="8"/>
  <c r="GG29" i="8"/>
  <c r="GF30" i="8"/>
  <c r="GG30" i="8"/>
  <c r="GF31" i="8"/>
  <c r="GG31" i="8"/>
  <c r="GF32" i="8"/>
  <c r="GG32" i="8"/>
  <c r="GF33" i="8"/>
  <c r="GG33" i="8"/>
  <c r="GF34" i="8"/>
  <c r="GG34" i="8"/>
  <c r="GF35" i="8"/>
  <c r="GG35" i="8"/>
  <c r="GF36" i="8"/>
  <c r="GG36" i="8"/>
  <c r="GF37" i="8"/>
  <c r="GG37" i="8"/>
  <c r="GF38" i="8"/>
  <c r="GG38" i="8"/>
  <c r="GF39" i="8"/>
  <c r="GG39" i="8"/>
  <c r="GF40" i="8"/>
  <c r="GG40" i="8"/>
  <c r="GF41" i="8"/>
  <c r="GG41" i="8"/>
  <c r="GF42" i="8"/>
  <c r="GG42" i="8"/>
  <c r="GF43" i="8"/>
  <c r="GG43" i="8"/>
  <c r="GF44" i="8"/>
  <c r="GG44" i="8"/>
  <c r="GF45" i="8"/>
  <c r="GG45" i="8"/>
  <c r="GF46" i="8"/>
  <c r="GG46" i="8"/>
  <c r="GF47" i="8"/>
  <c r="GG47" i="8"/>
  <c r="GF48" i="8"/>
  <c r="GG48" i="8"/>
  <c r="GF49" i="8"/>
  <c r="GG49" i="8"/>
  <c r="GF50" i="8"/>
  <c r="GG50" i="8"/>
  <c r="GF51" i="8"/>
  <c r="GG51" i="8"/>
  <c r="GF52" i="8"/>
  <c r="GG52" i="8"/>
  <c r="GF53" i="8"/>
  <c r="GG53" i="8"/>
  <c r="GF54" i="8"/>
  <c r="GG54" i="8"/>
  <c r="GF55" i="8"/>
  <c r="GG55" i="8"/>
  <c r="GF56" i="8"/>
  <c r="GG56" i="8"/>
  <c r="GF57" i="8"/>
  <c r="GG57" i="8"/>
  <c r="GF58" i="8"/>
  <c r="GG58" i="8"/>
  <c r="GF59" i="8"/>
  <c r="GG59" i="8"/>
  <c r="GF60" i="8"/>
  <c r="GG60" i="8"/>
  <c r="GF61" i="8"/>
  <c r="GG61" i="8"/>
  <c r="GF62" i="8"/>
  <c r="GG62" i="8"/>
  <c r="GF63" i="8"/>
  <c r="GG63" i="8"/>
  <c r="GF64" i="8"/>
  <c r="GG64" i="8"/>
  <c r="GF65" i="8"/>
  <c r="GG65" i="8"/>
  <c r="GF66" i="8"/>
  <c r="GG66" i="8"/>
  <c r="GF67" i="8"/>
  <c r="GG67" i="8"/>
  <c r="GF68" i="8"/>
  <c r="GG68" i="8"/>
  <c r="GF69" i="8"/>
  <c r="GG69" i="8"/>
  <c r="GF70" i="8"/>
  <c r="GG70" i="8"/>
  <c r="GF71" i="8"/>
  <c r="GG71" i="8"/>
  <c r="GF72" i="8"/>
  <c r="GG72" i="8"/>
  <c r="GF73" i="8"/>
  <c r="GG73" i="8"/>
  <c r="GF74" i="8"/>
  <c r="GG74" i="8"/>
  <c r="GF75" i="8"/>
  <c r="GG75" i="8"/>
  <c r="GF76" i="8"/>
  <c r="GG76" i="8"/>
  <c r="GF77" i="8"/>
  <c r="GG77" i="8"/>
  <c r="GF78" i="8"/>
  <c r="GG78" i="8"/>
  <c r="GF79" i="8"/>
  <c r="GG79" i="8"/>
  <c r="GF80" i="8"/>
  <c r="GG80" i="8"/>
  <c r="GF81" i="8"/>
  <c r="GG81" i="8"/>
  <c r="GF82" i="8"/>
  <c r="GG82" i="8"/>
  <c r="GF83" i="8"/>
  <c r="GG83" i="8"/>
  <c r="GF84" i="8"/>
  <c r="GG84" i="8"/>
  <c r="GG4" i="8"/>
  <c r="GF4" i="8"/>
  <c r="GH5" i="9"/>
  <c r="GI5" i="9"/>
  <c r="GH6" i="9"/>
  <c r="GI6" i="9"/>
  <c r="GH7" i="9"/>
  <c r="GI7" i="9"/>
  <c r="GH8" i="9"/>
  <c r="GI8" i="9"/>
  <c r="GH9" i="9"/>
  <c r="GI9" i="9"/>
  <c r="GH10" i="9"/>
  <c r="GI10" i="9"/>
  <c r="GH11" i="9"/>
  <c r="GI11" i="9"/>
  <c r="GH12" i="9"/>
  <c r="GI12" i="9"/>
  <c r="GH13" i="9"/>
  <c r="GI13" i="9"/>
  <c r="GH14" i="9"/>
  <c r="GI14" i="9"/>
  <c r="GH15" i="9"/>
  <c r="GI15" i="9"/>
  <c r="GH16" i="9"/>
  <c r="GI16" i="9"/>
  <c r="GH17" i="9"/>
  <c r="GI17" i="9"/>
  <c r="GH18" i="9"/>
  <c r="GI18" i="9"/>
  <c r="GH19" i="9"/>
  <c r="GI19" i="9"/>
  <c r="GH20" i="9"/>
  <c r="GI20" i="9"/>
  <c r="GH21" i="9"/>
  <c r="GI21" i="9"/>
  <c r="GH22" i="9"/>
  <c r="GI22" i="9"/>
  <c r="GH23" i="9"/>
  <c r="GI23" i="9"/>
  <c r="GH24" i="9"/>
  <c r="GI24" i="9"/>
  <c r="GH25" i="9"/>
  <c r="GI25" i="9"/>
  <c r="GH26" i="9"/>
  <c r="GI26" i="9"/>
  <c r="GH27" i="9"/>
  <c r="GI27" i="9"/>
  <c r="GH28" i="9"/>
  <c r="GI28" i="9"/>
  <c r="GH29" i="9"/>
  <c r="GI29" i="9"/>
  <c r="GH30" i="9"/>
  <c r="GI30" i="9"/>
  <c r="GH31" i="9"/>
  <c r="GI31" i="9"/>
  <c r="GH32" i="9"/>
  <c r="GI32" i="9"/>
  <c r="GH33" i="9"/>
  <c r="GI33" i="9"/>
  <c r="GH34" i="9"/>
  <c r="GI34" i="9"/>
  <c r="GH35" i="9"/>
  <c r="GI35" i="9"/>
  <c r="GH36" i="9"/>
  <c r="GI36" i="9"/>
  <c r="GH37" i="9"/>
  <c r="GI37" i="9"/>
  <c r="GH38" i="9"/>
  <c r="GI38" i="9"/>
  <c r="GH39" i="9"/>
  <c r="GI39" i="9"/>
  <c r="GH40" i="9"/>
  <c r="GI40" i="9"/>
  <c r="GH41" i="9"/>
  <c r="GI41" i="9"/>
  <c r="GH42" i="9"/>
  <c r="GI42" i="9"/>
  <c r="GH43" i="9"/>
  <c r="GI43" i="9"/>
  <c r="GH44" i="9"/>
  <c r="GI44" i="9"/>
  <c r="GH45" i="9"/>
  <c r="GI45" i="9"/>
  <c r="GH46" i="9"/>
  <c r="GI46" i="9"/>
  <c r="GH47" i="9"/>
  <c r="GI47" i="9"/>
  <c r="GH48" i="9"/>
  <c r="GI48" i="9"/>
  <c r="GH49" i="9"/>
  <c r="GI49" i="9"/>
  <c r="GH50" i="9"/>
  <c r="GI50" i="9"/>
  <c r="GH51" i="9"/>
  <c r="GI51" i="9"/>
  <c r="GH52" i="9"/>
  <c r="GI52" i="9"/>
  <c r="GH53" i="9"/>
  <c r="GI53" i="9"/>
  <c r="GH54" i="9"/>
  <c r="GI54" i="9"/>
  <c r="GH55" i="9"/>
  <c r="GI55" i="9"/>
  <c r="GH56" i="9"/>
  <c r="GI56" i="9"/>
  <c r="GH57" i="9"/>
  <c r="GI57" i="9"/>
  <c r="GH58" i="9"/>
  <c r="GI58" i="9"/>
  <c r="GH59" i="9"/>
  <c r="GI59" i="9"/>
  <c r="GH60" i="9"/>
  <c r="GI60" i="9"/>
  <c r="GH61" i="9"/>
  <c r="GI61" i="9"/>
  <c r="GH62" i="9"/>
  <c r="GI62" i="9"/>
  <c r="GH63" i="9"/>
  <c r="GI63" i="9"/>
  <c r="GH64" i="9"/>
  <c r="GI64" i="9"/>
  <c r="GH65" i="9"/>
  <c r="GI65" i="9"/>
  <c r="GH66" i="9"/>
  <c r="GI66" i="9"/>
  <c r="GH67" i="9"/>
  <c r="GI67" i="9"/>
  <c r="GH68" i="9"/>
  <c r="GI68" i="9"/>
  <c r="GH69" i="9"/>
  <c r="GI69" i="9"/>
  <c r="GH70" i="9"/>
  <c r="GI70" i="9"/>
  <c r="GH71" i="9"/>
  <c r="GI71" i="9"/>
  <c r="GH72" i="9"/>
  <c r="GI72" i="9"/>
  <c r="GH73" i="9"/>
  <c r="GI73" i="9"/>
  <c r="GH74" i="9"/>
  <c r="GI74" i="9"/>
  <c r="GH75" i="9"/>
  <c r="GI75" i="9"/>
  <c r="GH76" i="9"/>
  <c r="GI76" i="9"/>
  <c r="GH77" i="9"/>
  <c r="GI77" i="9"/>
  <c r="GH78" i="9"/>
  <c r="GI78" i="9"/>
  <c r="GH79" i="9"/>
  <c r="GI79" i="9"/>
  <c r="GH80" i="9"/>
  <c r="GI80" i="9"/>
  <c r="GH81" i="9"/>
  <c r="GI81" i="9"/>
  <c r="GH82" i="9"/>
  <c r="GI82" i="9"/>
  <c r="GH83" i="9"/>
  <c r="GI83" i="9"/>
  <c r="GH84" i="9"/>
  <c r="GI84" i="9"/>
  <c r="GI4" i="9"/>
  <c r="GH4" i="9"/>
  <c r="GA5" i="9"/>
  <c r="GA6" i="9"/>
  <c r="GA7" i="9"/>
  <c r="GA8" i="9"/>
  <c r="GA9" i="9"/>
  <c r="GA10" i="9"/>
  <c r="GA11" i="9"/>
  <c r="GA12" i="9"/>
  <c r="GA13" i="9"/>
  <c r="GA14" i="9"/>
  <c r="GA15" i="9"/>
  <c r="GA16" i="9"/>
  <c r="GA17" i="9"/>
  <c r="GA18" i="9"/>
  <c r="GA19" i="9"/>
  <c r="GA20" i="9"/>
  <c r="GA21" i="9"/>
  <c r="GA22" i="9"/>
  <c r="GA23" i="9"/>
  <c r="GA24" i="9"/>
  <c r="GA25" i="9"/>
  <c r="GA26" i="9"/>
  <c r="GA27" i="9"/>
  <c r="GA28" i="9"/>
  <c r="GA29" i="9"/>
  <c r="GA30" i="9"/>
  <c r="GA31" i="9"/>
  <c r="GA32" i="9"/>
  <c r="GA33" i="9"/>
  <c r="GA34" i="9"/>
  <c r="GA35" i="9"/>
  <c r="GA36" i="9"/>
  <c r="GA37" i="9"/>
  <c r="GA38" i="9"/>
  <c r="GA39" i="9"/>
  <c r="GA40" i="9"/>
  <c r="GA41" i="9"/>
  <c r="GA42" i="9"/>
  <c r="GA43" i="9"/>
  <c r="GA44" i="9"/>
  <c r="GA45" i="9"/>
  <c r="GA46" i="9"/>
  <c r="GA47" i="9"/>
  <c r="GA48" i="9"/>
  <c r="GA49" i="9"/>
  <c r="GA50" i="9"/>
  <c r="GA51" i="9"/>
  <c r="GA52" i="9"/>
  <c r="GA53" i="9"/>
  <c r="GA54" i="9"/>
  <c r="GA55" i="9"/>
  <c r="GA56" i="9"/>
  <c r="GA57" i="9"/>
  <c r="GA58" i="9"/>
  <c r="GA59" i="9"/>
  <c r="GA60" i="9"/>
  <c r="GA61" i="9"/>
  <c r="GA62" i="9"/>
  <c r="GA63" i="9"/>
  <c r="GA64" i="9"/>
  <c r="GA65" i="9"/>
  <c r="GA66" i="9"/>
  <c r="GA67" i="9"/>
  <c r="GA68" i="9"/>
  <c r="GA69" i="9"/>
  <c r="GA70" i="9"/>
  <c r="GA71" i="9"/>
  <c r="GA72" i="9"/>
  <c r="GA73" i="9"/>
  <c r="GA74" i="9"/>
  <c r="GA75" i="9"/>
  <c r="GA76" i="9"/>
  <c r="GA77" i="9"/>
  <c r="GA78" i="9"/>
  <c r="GA79" i="9"/>
  <c r="GA80" i="9"/>
  <c r="GA81" i="9"/>
  <c r="GA82" i="9"/>
  <c r="GA83" i="9"/>
  <c r="GA84" i="9"/>
  <c r="GA4" i="9"/>
  <c r="FX5" i="8"/>
  <c r="FZ5" i="8"/>
  <c r="FX6" i="8"/>
  <c r="FZ6" i="8"/>
  <c r="FX7" i="8"/>
  <c r="FZ7" i="8"/>
  <c r="FX8" i="8"/>
  <c r="FZ8" i="8"/>
  <c r="FX9" i="8"/>
  <c r="FZ9" i="8"/>
  <c r="FX10" i="8"/>
  <c r="FZ10" i="8"/>
  <c r="FX11" i="8"/>
  <c r="FZ11" i="8"/>
  <c r="FX12" i="8"/>
  <c r="FZ12" i="8"/>
  <c r="FX13" i="8"/>
  <c r="FZ13" i="8"/>
  <c r="FX14" i="8"/>
  <c r="FZ14" i="8"/>
  <c r="FX15" i="8"/>
  <c r="FZ15" i="8"/>
  <c r="FX16" i="8"/>
  <c r="FZ16" i="8"/>
  <c r="FX17" i="8"/>
  <c r="FZ17" i="8"/>
  <c r="FX18" i="8"/>
  <c r="FZ18" i="8"/>
  <c r="FX19" i="8"/>
  <c r="FZ19" i="8"/>
  <c r="FX20" i="8"/>
  <c r="FZ20" i="8"/>
  <c r="FX21" i="8"/>
  <c r="FZ21" i="8"/>
  <c r="FX22" i="8"/>
  <c r="FZ22" i="8"/>
  <c r="FX23" i="8"/>
  <c r="FZ23" i="8"/>
  <c r="FX24" i="8"/>
  <c r="FZ24" i="8"/>
  <c r="FX25" i="8"/>
  <c r="FZ25" i="8"/>
  <c r="FX26" i="8"/>
  <c r="FZ26" i="8"/>
  <c r="FX27" i="8"/>
  <c r="FZ27" i="8"/>
  <c r="FX28" i="8"/>
  <c r="FZ28" i="8"/>
  <c r="FX29" i="8"/>
  <c r="FZ29" i="8"/>
  <c r="FX30" i="8"/>
  <c r="FZ30" i="8"/>
  <c r="FX31" i="8"/>
  <c r="FZ31" i="8"/>
  <c r="FX32" i="8"/>
  <c r="FZ32" i="8"/>
  <c r="FX33" i="8"/>
  <c r="FZ33" i="8"/>
  <c r="FX34" i="8"/>
  <c r="FZ34" i="8"/>
  <c r="FX35" i="8"/>
  <c r="FZ35" i="8"/>
  <c r="FX36" i="8"/>
  <c r="FZ36" i="8"/>
  <c r="FX37" i="8"/>
  <c r="FZ37" i="8"/>
  <c r="FX38" i="8"/>
  <c r="FZ38" i="8"/>
  <c r="FX39" i="8"/>
  <c r="FZ39" i="8"/>
  <c r="FX40" i="8"/>
  <c r="FZ40" i="8"/>
  <c r="FX41" i="8"/>
  <c r="FZ41" i="8"/>
  <c r="FX42" i="8"/>
  <c r="FZ42" i="8"/>
  <c r="FX43" i="8"/>
  <c r="FZ43" i="8"/>
  <c r="FX44" i="8"/>
  <c r="FZ44" i="8"/>
  <c r="FX45" i="8"/>
  <c r="FZ45" i="8"/>
  <c r="FX46" i="8"/>
  <c r="FZ46" i="8"/>
  <c r="FX47" i="8"/>
  <c r="FZ47" i="8"/>
  <c r="FX48" i="8"/>
  <c r="FZ48" i="8"/>
  <c r="FX49" i="8"/>
  <c r="FZ49" i="8"/>
  <c r="FX50" i="8"/>
  <c r="FZ50" i="8"/>
  <c r="FX51" i="8"/>
  <c r="FZ51" i="8"/>
  <c r="FX52" i="8"/>
  <c r="FZ52" i="8"/>
  <c r="FX53" i="8"/>
  <c r="FZ53" i="8"/>
  <c r="FX54" i="8"/>
  <c r="FZ54" i="8"/>
  <c r="FX55" i="8"/>
  <c r="FZ55" i="8"/>
  <c r="FX56" i="8"/>
  <c r="FZ56" i="8"/>
  <c r="FX57" i="8"/>
  <c r="FZ57" i="8"/>
  <c r="FX58" i="8"/>
  <c r="FZ58" i="8"/>
  <c r="FX59" i="8"/>
  <c r="FZ59" i="8"/>
  <c r="FX60" i="8"/>
  <c r="FZ60" i="8"/>
  <c r="FX61" i="8"/>
  <c r="FZ61" i="8"/>
  <c r="FX62" i="8"/>
  <c r="FZ62" i="8"/>
  <c r="FX63" i="8"/>
  <c r="FZ63" i="8"/>
  <c r="FX64" i="8"/>
  <c r="FZ64" i="8"/>
  <c r="FX65" i="8"/>
  <c r="FZ65" i="8"/>
  <c r="FX66" i="8"/>
  <c r="FZ66" i="8"/>
  <c r="FX67" i="8"/>
  <c r="FZ67" i="8"/>
  <c r="FX68" i="8"/>
  <c r="FZ68" i="8"/>
  <c r="FX69" i="8"/>
  <c r="FZ69" i="8"/>
  <c r="FX70" i="8"/>
  <c r="FZ70" i="8"/>
  <c r="FX71" i="8"/>
  <c r="FZ71" i="8"/>
  <c r="FX72" i="8"/>
  <c r="FZ72" i="8"/>
  <c r="FX73" i="8"/>
  <c r="FZ73" i="8"/>
  <c r="FX74" i="8"/>
  <c r="FZ74" i="8"/>
  <c r="FX75" i="8"/>
  <c r="FZ75" i="8"/>
  <c r="FX76" i="8"/>
  <c r="FZ76" i="8"/>
  <c r="FX77" i="8"/>
  <c r="FZ77" i="8"/>
  <c r="FX78" i="8"/>
  <c r="FZ78" i="8"/>
  <c r="FX79" i="8"/>
  <c r="FZ79" i="8"/>
  <c r="FX80" i="8"/>
  <c r="FZ80" i="8"/>
  <c r="FX81" i="8"/>
  <c r="FZ81" i="8"/>
  <c r="FX82" i="8"/>
  <c r="FZ82" i="8"/>
  <c r="FX83" i="8"/>
  <c r="FZ83" i="8"/>
  <c r="FX84" i="8"/>
  <c r="FZ84" i="8"/>
  <c r="FZ4" i="8"/>
  <c r="FX4" i="8"/>
  <c r="FQ5" i="9"/>
  <c r="FT5" i="9"/>
  <c r="FQ6" i="9"/>
  <c r="FT6" i="9"/>
  <c r="FQ7" i="9"/>
  <c r="FT7" i="9"/>
  <c r="FQ8" i="9"/>
  <c r="FT8" i="9"/>
  <c r="FQ9" i="9"/>
  <c r="FT9" i="9"/>
  <c r="FQ10" i="9"/>
  <c r="FT10" i="9"/>
  <c r="FQ11" i="9"/>
  <c r="FT11" i="9"/>
  <c r="FQ12" i="9"/>
  <c r="FT12" i="9"/>
  <c r="FQ13" i="9"/>
  <c r="FT13" i="9"/>
  <c r="FQ14" i="9"/>
  <c r="FT14" i="9"/>
  <c r="FQ15" i="9"/>
  <c r="FT15" i="9"/>
  <c r="FQ16" i="9"/>
  <c r="FT16" i="9"/>
  <c r="FQ17" i="9"/>
  <c r="FT17" i="9"/>
  <c r="FQ18" i="9"/>
  <c r="FT18" i="9"/>
  <c r="FQ19" i="9"/>
  <c r="FT19" i="9"/>
  <c r="FQ20" i="9"/>
  <c r="FT20" i="9"/>
  <c r="FQ21" i="9"/>
  <c r="FT21" i="9"/>
  <c r="FQ22" i="9"/>
  <c r="FT22" i="9"/>
  <c r="FQ23" i="9"/>
  <c r="FT23" i="9"/>
  <c r="FQ24" i="9"/>
  <c r="FT24" i="9"/>
  <c r="FQ25" i="9"/>
  <c r="FT25" i="9"/>
  <c r="FQ26" i="9"/>
  <c r="FT26" i="9"/>
  <c r="FQ27" i="9"/>
  <c r="FT27" i="9"/>
  <c r="FQ28" i="9"/>
  <c r="FT28" i="9"/>
  <c r="FQ29" i="9"/>
  <c r="FT29" i="9"/>
  <c r="FQ30" i="9"/>
  <c r="FT30" i="9"/>
  <c r="FQ31" i="9"/>
  <c r="FT31" i="9"/>
  <c r="FQ32" i="9"/>
  <c r="FT32" i="9"/>
  <c r="FQ33" i="9"/>
  <c r="FT33" i="9"/>
  <c r="FQ34" i="9"/>
  <c r="FT34" i="9"/>
  <c r="FQ35" i="9"/>
  <c r="FT35" i="9"/>
  <c r="FQ36" i="9"/>
  <c r="FT36" i="9"/>
  <c r="FQ37" i="9"/>
  <c r="FT37" i="9"/>
  <c r="FQ38" i="9"/>
  <c r="FT38" i="9"/>
  <c r="FQ39" i="9"/>
  <c r="FT39" i="9"/>
  <c r="FQ40" i="9"/>
  <c r="FT40" i="9"/>
  <c r="FQ41" i="9"/>
  <c r="FT41" i="9"/>
  <c r="FQ42" i="9"/>
  <c r="FT42" i="9"/>
  <c r="FQ43" i="9"/>
  <c r="FT43" i="9"/>
  <c r="FQ44" i="9"/>
  <c r="FT44" i="9"/>
  <c r="FQ45" i="9"/>
  <c r="FT45" i="9"/>
  <c r="FQ46" i="9"/>
  <c r="FT46" i="9"/>
  <c r="FQ47" i="9"/>
  <c r="FT47" i="9"/>
  <c r="FQ48" i="9"/>
  <c r="FT48" i="9"/>
  <c r="FQ49" i="9"/>
  <c r="FT49" i="9"/>
  <c r="FQ50" i="9"/>
  <c r="FT50" i="9"/>
  <c r="FQ51" i="9"/>
  <c r="FT51" i="9"/>
  <c r="FQ52" i="9"/>
  <c r="FT52" i="9"/>
  <c r="FQ53" i="9"/>
  <c r="FT53" i="9"/>
  <c r="FQ54" i="9"/>
  <c r="FT54" i="9"/>
  <c r="FQ55" i="9"/>
  <c r="FT55" i="9"/>
  <c r="FQ56" i="9"/>
  <c r="FT56" i="9"/>
  <c r="FQ57" i="9"/>
  <c r="FT57" i="9"/>
  <c r="FQ58" i="9"/>
  <c r="FT58" i="9"/>
  <c r="FQ59" i="9"/>
  <c r="FT59" i="9"/>
  <c r="FQ60" i="9"/>
  <c r="FT60" i="9"/>
  <c r="FQ61" i="9"/>
  <c r="FT61" i="9"/>
  <c r="FQ62" i="9"/>
  <c r="FT62" i="9"/>
  <c r="FQ63" i="9"/>
  <c r="FT63" i="9"/>
  <c r="FQ64" i="9"/>
  <c r="FT64" i="9"/>
  <c r="FQ65" i="9"/>
  <c r="FT65" i="9"/>
  <c r="FQ66" i="9"/>
  <c r="FT66" i="9"/>
  <c r="FQ67" i="9"/>
  <c r="FT67" i="9"/>
  <c r="FQ68" i="9"/>
  <c r="FT68" i="9"/>
  <c r="FQ69" i="9"/>
  <c r="FT69" i="9"/>
  <c r="FQ70" i="9"/>
  <c r="FT70" i="9"/>
  <c r="FQ71" i="9"/>
  <c r="FT71" i="9"/>
  <c r="FQ72" i="9"/>
  <c r="FT72" i="9"/>
  <c r="FQ73" i="9"/>
  <c r="FT73" i="9"/>
  <c r="FQ74" i="9"/>
  <c r="FT74" i="9"/>
  <c r="FQ75" i="9"/>
  <c r="FT75" i="9"/>
  <c r="FQ76" i="9"/>
  <c r="FT76" i="9"/>
  <c r="FQ77" i="9"/>
  <c r="FT77" i="9"/>
  <c r="FQ78" i="9"/>
  <c r="FT78" i="9"/>
  <c r="FQ79" i="9"/>
  <c r="FT79" i="9"/>
  <c r="FQ80" i="9"/>
  <c r="FT80" i="9"/>
  <c r="FQ81" i="9"/>
  <c r="FT81" i="9"/>
  <c r="FQ82" i="9"/>
  <c r="FT82" i="9"/>
  <c r="FQ83" i="9"/>
  <c r="FT83" i="9"/>
  <c r="FQ84" i="9"/>
  <c r="FT84" i="9"/>
  <c r="FT4" i="9"/>
  <c r="FQ4" i="9"/>
  <c r="FO5" i="8"/>
  <c r="FP5" i="8"/>
  <c r="FR5" i="8"/>
  <c r="FO6" i="8"/>
  <c r="FP6" i="8"/>
  <c r="FR6" i="8"/>
  <c r="FO7" i="8"/>
  <c r="FP7" i="8"/>
  <c r="FR7" i="8"/>
  <c r="FO8" i="8"/>
  <c r="FP8" i="8"/>
  <c r="FR8" i="8"/>
  <c r="FO9" i="8"/>
  <c r="FP9" i="8"/>
  <c r="FR9" i="8"/>
  <c r="FO10" i="8"/>
  <c r="FP10" i="8"/>
  <c r="FR10" i="8"/>
  <c r="FO11" i="8"/>
  <c r="FP11" i="8"/>
  <c r="FR11" i="8"/>
  <c r="FO12" i="8"/>
  <c r="FP12" i="8"/>
  <c r="FR12" i="8"/>
  <c r="FO13" i="8"/>
  <c r="FP13" i="8"/>
  <c r="FR13" i="8"/>
  <c r="FO14" i="8"/>
  <c r="FP14" i="8"/>
  <c r="FR14" i="8"/>
  <c r="FO15" i="8"/>
  <c r="FP15" i="8"/>
  <c r="FR15" i="8"/>
  <c r="FO16" i="8"/>
  <c r="FP16" i="8"/>
  <c r="FR16" i="8"/>
  <c r="FO17" i="8"/>
  <c r="FP17" i="8"/>
  <c r="FR17" i="8"/>
  <c r="FO18" i="8"/>
  <c r="FP18" i="8"/>
  <c r="FR18" i="8"/>
  <c r="FO19" i="8"/>
  <c r="FP19" i="8"/>
  <c r="FR19" i="8"/>
  <c r="FO20" i="8"/>
  <c r="FP20" i="8"/>
  <c r="FR20" i="8"/>
  <c r="FO21" i="8"/>
  <c r="FP21" i="8"/>
  <c r="FR21" i="8"/>
  <c r="FO22" i="8"/>
  <c r="FP22" i="8"/>
  <c r="FR22" i="8"/>
  <c r="FO23" i="8"/>
  <c r="FP23" i="8"/>
  <c r="FR23" i="8"/>
  <c r="FO24" i="8"/>
  <c r="FP24" i="8"/>
  <c r="FR24" i="8"/>
  <c r="FO25" i="8"/>
  <c r="FP25" i="8"/>
  <c r="FR25" i="8"/>
  <c r="FO26" i="8"/>
  <c r="FP26" i="8"/>
  <c r="FR26" i="8"/>
  <c r="FO27" i="8"/>
  <c r="FP27" i="8"/>
  <c r="FR27" i="8"/>
  <c r="FO28" i="8"/>
  <c r="FP28" i="8"/>
  <c r="FR28" i="8"/>
  <c r="FO29" i="8"/>
  <c r="FP29" i="8"/>
  <c r="FR29" i="8"/>
  <c r="FO30" i="8"/>
  <c r="FP30" i="8"/>
  <c r="FR30" i="8"/>
  <c r="FO31" i="8"/>
  <c r="FP31" i="8"/>
  <c r="FR31" i="8"/>
  <c r="FO32" i="8"/>
  <c r="FP32" i="8"/>
  <c r="FR32" i="8"/>
  <c r="FO33" i="8"/>
  <c r="FP33" i="8"/>
  <c r="FR33" i="8"/>
  <c r="FO34" i="8"/>
  <c r="FP34" i="8"/>
  <c r="FR34" i="8"/>
  <c r="FO35" i="8"/>
  <c r="FP35" i="8"/>
  <c r="FR35" i="8"/>
  <c r="FO36" i="8"/>
  <c r="FP36" i="8"/>
  <c r="FR36" i="8"/>
  <c r="FO37" i="8"/>
  <c r="FP37" i="8"/>
  <c r="FR37" i="8"/>
  <c r="FO38" i="8"/>
  <c r="FP38" i="8"/>
  <c r="FR38" i="8"/>
  <c r="FO39" i="8"/>
  <c r="FP39" i="8"/>
  <c r="FR39" i="8"/>
  <c r="FO40" i="8"/>
  <c r="FP40" i="8"/>
  <c r="FR40" i="8"/>
  <c r="FO41" i="8"/>
  <c r="FP41" i="8"/>
  <c r="FR41" i="8"/>
  <c r="FO42" i="8"/>
  <c r="FP42" i="8"/>
  <c r="FR42" i="8"/>
  <c r="FO43" i="8"/>
  <c r="FP43" i="8"/>
  <c r="FR43" i="8"/>
  <c r="FO44" i="8"/>
  <c r="FP44" i="8"/>
  <c r="FR44" i="8"/>
  <c r="FO45" i="8"/>
  <c r="FP45" i="8"/>
  <c r="FR45" i="8"/>
  <c r="FO46" i="8"/>
  <c r="FP46" i="8"/>
  <c r="FR46" i="8"/>
  <c r="FO47" i="8"/>
  <c r="FP47" i="8"/>
  <c r="FR47" i="8"/>
  <c r="FO48" i="8"/>
  <c r="FP48" i="8"/>
  <c r="FR48" i="8"/>
  <c r="FO49" i="8"/>
  <c r="FP49" i="8"/>
  <c r="FR49" i="8"/>
  <c r="FO50" i="8"/>
  <c r="FP50" i="8"/>
  <c r="FR50" i="8"/>
  <c r="FO51" i="8"/>
  <c r="FP51" i="8"/>
  <c r="FR51" i="8"/>
  <c r="FO52" i="8"/>
  <c r="FP52" i="8"/>
  <c r="FR52" i="8"/>
  <c r="FO53" i="8"/>
  <c r="FP53" i="8"/>
  <c r="FR53" i="8"/>
  <c r="FO54" i="8"/>
  <c r="FP54" i="8"/>
  <c r="FR54" i="8"/>
  <c r="FO55" i="8"/>
  <c r="FP55" i="8"/>
  <c r="FR55" i="8"/>
  <c r="FO56" i="8"/>
  <c r="FP56" i="8"/>
  <c r="FR56" i="8"/>
  <c r="FO57" i="8"/>
  <c r="FP57" i="8"/>
  <c r="FR57" i="8"/>
  <c r="FO58" i="8"/>
  <c r="FP58" i="8"/>
  <c r="FR58" i="8"/>
  <c r="FO59" i="8"/>
  <c r="FP59" i="8"/>
  <c r="FR59" i="8"/>
  <c r="FO60" i="8"/>
  <c r="FP60" i="8"/>
  <c r="FR60" i="8"/>
  <c r="FO61" i="8"/>
  <c r="FP61" i="8"/>
  <c r="FR61" i="8"/>
  <c r="FO62" i="8"/>
  <c r="FP62" i="8"/>
  <c r="FR62" i="8"/>
  <c r="FO63" i="8"/>
  <c r="FP63" i="8"/>
  <c r="FR63" i="8"/>
  <c r="FO64" i="8"/>
  <c r="FP64" i="8"/>
  <c r="FR64" i="8"/>
  <c r="FO65" i="8"/>
  <c r="FP65" i="8"/>
  <c r="FR65" i="8"/>
  <c r="FO66" i="8"/>
  <c r="FP66" i="8"/>
  <c r="FR66" i="8"/>
  <c r="FO67" i="8"/>
  <c r="FP67" i="8"/>
  <c r="FR67" i="8"/>
  <c r="FO68" i="8"/>
  <c r="FP68" i="8"/>
  <c r="FR68" i="8"/>
  <c r="FO69" i="8"/>
  <c r="FP69" i="8"/>
  <c r="FR69" i="8"/>
  <c r="FO70" i="8"/>
  <c r="FP70" i="8"/>
  <c r="FR70" i="8"/>
  <c r="FO71" i="8"/>
  <c r="FP71" i="8"/>
  <c r="FR71" i="8"/>
  <c r="FO72" i="8"/>
  <c r="FP72" i="8"/>
  <c r="FR72" i="8"/>
  <c r="FO73" i="8"/>
  <c r="FP73" i="8"/>
  <c r="FR73" i="8"/>
  <c r="FO74" i="8"/>
  <c r="FP74" i="8"/>
  <c r="FR74" i="8"/>
  <c r="FO75" i="8"/>
  <c r="FP75" i="8"/>
  <c r="FR75" i="8"/>
  <c r="FO76" i="8"/>
  <c r="FP76" i="8"/>
  <c r="FR76" i="8"/>
  <c r="FO77" i="8"/>
  <c r="FP77" i="8"/>
  <c r="FR77" i="8"/>
  <c r="FO78" i="8"/>
  <c r="FP78" i="8"/>
  <c r="FR78" i="8"/>
  <c r="FO79" i="8"/>
  <c r="FP79" i="8"/>
  <c r="FR79" i="8"/>
  <c r="FO80" i="8"/>
  <c r="FP80" i="8"/>
  <c r="FR80" i="8"/>
  <c r="FO81" i="8"/>
  <c r="FP81" i="8"/>
  <c r="FR81" i="8"/>
  <c r="FO82" i="8"/>
  <c r="FP82" i="8"/>
  <c r="FR82" i="8"/>
  <c r="FO83" i="8"/>
  <c r="FP83" i="8"/>
  <c r="FR83" i="8"/>
  <c r="FO84" i="8"/>
  <c r="FP84" i="8"/>
  <c r="FR84" i="8"/>
  <c r="FR4" i="8"/>
  <c r="FP4" i="8"/>
  <c r="FO4" i="8"/>
  <c r="FE5" i="8"/>
  <c r="FF5" i="8"/>
  <c r="FE6" i="8"/>
  <c r="FF6" i="8"/>
  <c r="FE7" i="8"/>
  <c r="FF7" i="8"/>
  <c r="FE8" i="8"/>
  <c r="FF8" i="8"/>
  <c r="FE9" i="8"/>
  <c r="FF9" i="8"/>
  <c r="FE10" i="8"/>
  <c r="FF10" i="8"/>
  <c r="FE11" i="8"/>
  <c r="FF11" i="8"/>
  <c r="FE12" i="8"/>
  <c r="FF12" i="8"/>
  <c r="FE13" i="8"/>
  <c r="FF13" i="8"/>
  <c r="FE14" i="8"/>
  <c r="FF14" i="8"/>
  <c r="FE15" i="8"/>
  <c r="FF15" i="8"/>
  <c r="FE16" i="8"/>
  <c r="FF16" i="8"/>
  <c r="FE17" i="8"/>
  <c r="FF17" i="8"/>
  <c r="FE18" i="8"/>
  <c r="FF18" i="8"/>
  <c r="FE19" i="8"/>
  <c r="FF19" i="8"/>
  <c r="FE20" i="8"/>
  <c r="FF20" i="8"/>
  <c r="FE21" i="8"/>
  <c r="FF21" i="8"/>
  <c r="FE22" i="8"/>
  <c r="FF22" i="8"/>
  <c r="FE23" i="8"/>
  <c r="FF23" i="8"/>
  <c r="FE24" i="8"/>
  <c r="FF24" i="8"/>
  <c r="FE25" i="8"/>
  <c r="FF25" i="8"/>
  <c r="FE26" i="8"/>
  <c r="FF26" i="8"/>
  <c r="FE27" i="8"/>
  <c r="FF27" i="8"/>
  <c r="FE28" i="8"/>
  <c r="FF28" i="8"/>
  <c r="FE29" i="8"/>
  <c r="FF29" i="8"/>
  <c r="FE30" i="8"/>
  <c r="FF30" i="8"/>
  <c r="FE31" i="8"/>
  <c r="FF31" i="8"/>
  <c r="FE32" i="8"/>
  <c r="FF32" i="8"/>
  <c r="FE33" i="8"/>
  <c r="FF33" i="8"/>
  <c r="FE34" i="8"/>
  <c r="FF34" i="8"/>
  <c r="FE35" i="8"/>
  <c r="FF35" i="8"/>
  <c r="FE36" i="8"/>
  <c r="FF36" i="8"/>
  <c r="FE37" i="8"/>
  <c r="FF37" i="8"/>
  <c r="FE38" i="8"/>
  <c r="FF38" i="8"/>
  <c r="FE39" i="8"/>
  <c r="FF39" i="8"/>
  <c r="FE40" i="8"/>
  <c r="FF40" i="8"/>
  <c r="FE41" i="8"/>
  <c r="FF41" i="8"/>
  <c r="FE42" i="8"/>
  <c r="FF42" i="8"/>
  <c r="FE43" i="8"/>
  <c r="FF43" i="8"/>
  <c r="FE44" i="8"/>
  <c r="FF44" i="8"/>
  <c r="FE45" i="8"/>
  <c r="FF45" i="8"/>
  <c r="FE46" i="8"/>
  <c r="FF46" i="8"/>
  <c r="FE47" i="8"/>
  <c r="FF47" i="8"/>
  <c r="FE48" i="8"/>
  <c r="FF48" i="8"/>
  <c r="FE49" i="8"/>
  <c r="FF49" i="8"/>
  <c r="FE50" i="8"/>
  <c r="FF50" i="8"/>
  <c r="FE51" i="8"/>
  <c r="FF51" i="8"/>
  <c r="FE52" i="8"/>
  <c r="FF52" i="8"/>
  <c r="FE53" i="8"/>
  <c r="FF53" i="8"/>
  <c r="FE54" i="8"/>
  <c r="FF54" i="8"/>
  <c r="FE55" i="8"/>
  <c r="FF55" i="8"/>
  <c r="FE56" i="8"/>
  <c r="FF56" i="8"/>
  <c r="FE57" i="8"/>
  <c r="FF57" i="8"/>
  <c r="FE58" i="8"/>
  <c r="FF58" i="8"/>
  <c r="FE59" i="8"/>
  <c r="FF59" i="8"/>
  <c r="FE60" i="8"/>
  <c r="FF60" i="8"/>
  <c r="FE61" i="8"/>
  <c r="FF61" i="8"/>
  <c r="FE62" i="8"/>
  <c r="FF62" i="8"/>
  <c r="FE63" i="8"/>
  <c r="FF63" i="8"/>
  <c r="FE64" i="8"/>
  <c r="FF64" i="8"/>
  <c r="FE65" i="8"/>
  <c r="FF65" i="8"/>
  <c r="FE66" i="8"/>
  <c r="FF66" i="8"/>
  <c r="FE67" i="8"/>
  <c r="FF67" i="8"/>
  <c r="FE68" i="8"/>
  <c r="FF68" i="8"/>
  <c r="FE69" i="8"/>
  <c r="FF69" i="8"/>
  <c r="FE70" i="8"/>
  <c r="FF70" i="8"/>
  <c r="FE71" i="8"/>
  <c r="FF71" i="8"/>
  <c r="FE72" i="8"/>
  <c r="FF72" i="8"/>
  <c r="FE73" i="8"/>
  <c r="FF73" i="8"/>
  <c r="FE74" i="8"/>
  <c r="FF74" i="8"/>
  <c r="FE75" i="8"/>
  <c r="FF75" i="8"/>
  <c r="FE76" i="8"/>
  <c r="FF76" i="8"/>
  <c r="FE77" i="8"/>
  <c r="FF77" i="8"/>
  <c r="FE78" i="8"/>
  <c r="FF78" i="8"/>
  <c r="FE79" i="8"/>
  <c r="FF79" i="8"/>
  <c r="FE80" i="8"/>
  <c r="FF80" i="8"/>
  <c r="FE81" i="8"/>
  <c r="FF81" i="8"/>
  <c r="FE82" i="8"/>
  <c r="FF82" i="8"/>
  <c r="FE83" i="8"/>
  <c r="FF83" i="8"/>
  <c r="FE84" i="8"/>
  <c r="FF84" i="8"/>
  <c r="FF4" i="8"/>
  <c r="FE4" i="8"/>
  <c r="FG5" i="9"/>
  <c r="FJ5" i="9"/>
  <c r="FL5" i="9"/>
  <c r="FG6" i="9"/>
  <c r="FJ6" i="9"/>
  <c r="FL6" i="9"/>
  <c r="FG7" i="9"/>
  <c r="FJ7" i="9"/>
  <c r="FL7" i="9"/>
  <c r="FG8" i="9"/>
  <c r="FJ8" i="9"/>
  <c r="FL8" i="9"/>
  <c r="FG9" i="9"/>
  <c r="FJ9" i="9"/>
  <c r="FL9" i="9"/>
  <c r="FG10" i="9"/>
  <c r="FJ10" i="9"/>
  <c r="FL10" i="9"/>
  <c r="FG11" i="9"/>
  <c r="FJ11" i="9"/>
  <c r="FL11" i="9"/>
  <c r="FG12" i="9"/>
  <c r="FJ12" i="9"/>
  <c r="FL12" i="9"/>
  <c r="FG13" i="9"/>
  <c r="FJ13" i="9"/>
  <c r="FL13" i="9"/>
  <c r="FG14" i="9"/>
  <c r="FJ14" i="9"/>
  <c r="FL14" i="9"/>
  <c r="FG15" i="9"/>
  <c r="FJ15" i="9"/>
  <c r="FL15" i="9"/>
  <c r="FG16" i="9"/>
  <c r="FJ16" i="9"/>
  <c r="FL16" i="9"/>
  <c r="FG17" i="9"/>
  <c r="FJ17" i="9"/>
  <c r="FL17" i="9"/>
  <c r="FG18" i="9"/>
  <c r="FJ18" i="9"/>
  <c r="FL18" i="9"/>
  <c r="FG19" i="9"/>
  <c r="FJ19" i="9"/>
  <c r="FL19" i="9"/>
  <c r="FG20" i="9"/>
  <c r="FJ20" i="9"/>
  <c r="FL20" i="9"/>
  <c r="FG21" i="9"/>
  <c r="FJ21" i="9"/>
  <c r="FL21" i="9"/>
  <c r="FG22" i="9"/>
  <c r="FJ22" i="9"/>
  <c r="FL22" i="9"/>
  <c r="FG23" i="9"/>
  <c r="FJ23" i="9"/>
  <c r="FL23" i="9"/>
  <c r="FG24" i="9"/>
  <c r="FJ24" i="9"/>
  <c r="FL24" i="9"/>
  <c r="FG25" i="9"/>
  <c r="FJ25" i="9"/>
  <c r="FL25" i="9"/>
  <c r="FG26" i="9"/>
  <c r="FJ26" i="9"/>
  <c r="FL26" i="9"/>
  <c r="FG27" i="9"/>
  <c r="FJ27" i="9"/>
  <c r="FL27" i="9"/>
  <c r="FG28" i="9"/>
  <c r="FJ28" i="9"/>
  <c r="FL28" i="9"/>
  <c r="FG29" i="9"/>
  <c r="FJ29" i="9"/>
  <c r="FL29" i="9"/>
  <c r="FG30" i="9"/>
  <c r="FJ30" i="9"/>
  <c r="FL30" i="9"/>
  <c r="FG31" i="9"/>
  <c r="FJ31" i="9"/>
  <c r="FL31" i="9"/>
  <c r="FG32" i="9"/>
  <c r="FJ32" i="9"/>
  <c r="FL32" i="9"/>
  <c r="FG33" i="9"/>
  <c r="FJ33" i="9"/>
  <c r="FL33" i="9"/>
  <c r="FG34" i="9"/>
  <c r="FJ34" i="9"/>
  <c r="FL34" i="9"/>
  <c r="FG35" i="9"/>
  <c r="FJ35" i="9"/>
  <c r="FL35" i="9"/>
  <c r="FG36" i="9"/>
  <c r="FJ36" i="9"/>
  <c r="FL36" i="9"/>
  <c r="FG37" i="9"/>
  <c r="FJ37" i="9"/>
  <c r="FL37" i="9"/>
  <c r="FG38" i="9"/>
  <c r="FJ38" i="9"/>
  <c r="FL38" i="9"/>
  <c r="FG39" i="9"/>
  <c r="FJ39" i="9"/>
  <c r="FL39" i="9"/>
  <c r="FG40" i="9"/>
  <c r="FJ40" i="9"/>
  <c r="FL40" i="9"/>
  <c r="FG41" i="9"/>
  <c r="FJ41" i="9"/>
  <c r="FL41" i="9"/>
  <c r="FG42" i="9"/>
  <c r="FJ42" i="9"/>
  <c r="FL42" i="9"/>
  <c r="FG43" i="9"/>
  <c r="FJ43" i="9"/>
  <c r="FL43" i="9"/>
  <c r="FG44" i="9"/>
  <c r="FJ44" i="9"/>
  <c r="FL44" i="9"/>
  <c r="FG45" i="9"/>
  <c r="FJ45" i="9"/>
  <c r="FL45" i="9"/>
  <c r="FG46" i="9"/>
  <c r="FJ46" i="9"/>
  <c r="FL46" i="9"/>
  <c r="FG47" i="9"/>
  <c r="FJ47" i="9"/>
  <c r="FL47" i="9"/>
  <c r="FG48" i="9"/>
  <c r="FJ48" i="9"/>
  <c r="FL48" i="9"/>
  <c r="FG49" i="9"/>
  <c r="FJ49" i="9"/>
  <c r="FL49" i="9"/>
  <c r="FG50" i="9"/>
  <c r="FJ50" i="9"/>
  <c r="FL50" i="9"/>
  <c r="FG51" i="9"/>
  <c r="FJ51" i="9"/>
  <c r="FL51" i="9"/>
  <c r="FG52" i="9"/>
  <c r="FJ52" i="9"/>
  <c r="FL52" i="9"/>
  <c r="FG53" i="9"/>
  <c r="FJ53" i="9"/>
  <c r="FL53" i="9"/>
  <c r="FG54" i="9"/>
  <c r="FJ54" i="9"/>
  <c r="FL54" i="9"/>
  <c r="FG55" i="9"/>
  <c r="FJ55" i="9"/>
  <c r="FL55" i="9"/>
  <c r="FG56" i="9"/>
  <c r="FJ56" i="9"/>
  <c r="FL56" i="9"/>
  <c r="FG57" i="9"/>
  <c r="FJ57" i="9"/>
  <c r="FL57" i="9"/>
  <c r="FG58" i="9"/>
  <c r="FJ58" i="9"/>
  <c r="FL58" i="9"/>
  <c r="FG59" i="9"/>
  <c r="FJ59" i="9"/>
  <c r="FL59" i="9"/>
  <c r="FG60" i="9"/>
  <c r="FJ60" i="9"/>
  <c r="FL60" i="9"/>
  <c r="FG61" i="9"/>
  <c r="FJ61" i="9"/>
  <c r="FL61" i="9"/>
  <c r="FG62" i="9"/>
  <c r="FJ62" i="9"/>
  <c r="FL62" i="9"/>
  <c r="FG63" i="9"/>
  <c r="FJ63" i="9"/>
  <c r="FL63" i="9"/>
  <c r="FG64" i="9"/>
  <c r="FJ64" i="9"/>
  <c r="FL64" i="9"/>
  <c r="FG65" i="9"/>
  <c r="FJ65" i="9"/>
  <c r="FL65" i="9"/>
  <c r="FG66" i="9"/>
  <c r="FJ66" i="9"/>
  <c r="FL66" i="9"/>
  <c r="FG67" i="9"/>
  <c r="FJ67" i="9"/>
  <c r="FL67" i="9"/>
  <c r="FG68" i="9"/>
  <c r="FJ68" i="9"/>
  <c r="FL68" i="9"/>
  <c r="FG69" i="9"/>
  <c r="FJ69" i="9"/>
  <c r="FL69" i="9"/>
  <c r="FG70" i="9"/>
  <c r="FJ70" i="9"/>
  <c r="FL70" i="9"/>
  <c r="FG71" i="9"/>
  <c r="FJ71" i="9"/>
  <c r="FL71" i="9"/>
  <c r="FG72" i="9"/>
  <c r="FJ72" i="9"/>
  <c r="FL72" i="9"/>
  <c r="FG73" i="9"/>
  <c r="FJ73" i="9"/>
  <c r="FL73" i="9"/>
  <c r="FG74" i="9"/>
  <c r="FJ74" i="9"/>
  <c r="FL74" i="9"/>
  <c r="FG75" i="9"/>
  <c r="FJ75" i="9"/>
  <c r="FL75" i="9"/>
  <c r="FG76" i="9"/>
  <c r="FJ76" i="9"/>
  <c r="FL76" i="9"/>
  <c r="FG77" i="9"/>
  <c r="FJ77" i="9"/>
  <c r="FL77" i="9"/>
  <c r="FG78" i="9"/>
  <c r="FJ78" i="9"/>
  <c r="FL78" i="9"/>
  <c r="FG79" i="9"/>
  <c r="FJ79" i="9"/>
  <c r="FL79" i="9"/>
  <c r="FG80" i="9"/>
  <c r="FJ80" i="9"/>
  <c r="FL80" i="9"/>
  <c r="FG81" i="9"/>
  <c r="FJ81" i="9"/>
  <c r="FL81" i="9"/>
  <c r="FG82" i="9"/>
  <c r="FJ82" i="9"/>
  <c r="FL82" i="9"/>
  <c r="FG83" i="9"/>
  <c r="FJ83" i="9"/>
  <c r="FL83" i="9"/>
  <c r="FG84" i="9"/>
  <c r="FJ84" i="9"/>
  <c r="FL84" i="9"/>
  <c r="FL4" i="9"/>
  <c r="FJ4" i="9"/>
  <c r="FG4" i="9"/>
  <c r="EN5" i="9"/>
  <c r="EN6" i="9"/>
  <c r="EN7" i="9"/>
  <c r="EN8" i="9"/>
  <c r="EN9" i="9"/>
  <c r="EN10" i="9"/>
  <c r="EN11" i="9"/>
  <c r="EN12" i="9"/>
  <c r="EN13" i="9"/>
  <c r="EN14" i="9"/>
  <c r="EN15" i="9"/>
  <c r="EN16" i="9"/>
  <c r="EN17" i="9"/>
  <c r="EN18" i="9"/>
  <c r="EN19" i="9"/>
  <c r="EN20" i="9"/>
  <c r="EN21" i="9"/>
  <c r="EN22" i="9"/>
  <c r="EN23" i="9"/>
  <c r="EN24" i="9"/>
  <c r="EN25" i="9"/>
  <c r="EN26" i="9"/>
  <c r="EN27" i="9"/>
  <c r="EN28" i="9"/>
  <c r="EN29" i="9"/>
  <c r="EN30" i="9"/>
  <c r="EN31" i="9"/>
  <c r="EN32" i="9"/>
  <c r="EN33" i="9"/>
  <c r="EN34" i="9"/>
  <c r="EN35" i="9"/>
  <c r="EN36" i="9"/>
  <c r="EN37" i="9"/>
  <c r="EN38" i="9"/>
  <c r="EN39" i="9"/>
  <c r="EN40" i="9"/>
  <c r="EN41" i="9"/>
  <c r="EN42" i="9"/>
  <c r="EN43" i="9"/>
  <c r="EN44" i="9"/>
  <c r="EN45" i="9"/>
  <c r="EN46" i="9"/>
  <c r="EN47" i="9"/>
  <c r="EN48" i="9"/>
  <c r="EN49" i="9"/>
  <c r="EN50" i="9"/>
  <c r="EN51" i="9"/>
  <c r="EN52" i="9"/>
  <c r="EN53" i="9"/>
  <c r="EN54" i="9"/>
  <c r="EN55" i="9"/>
  <c r="EN56" i="9"/>
  <c r="EN57" i="9"/>
  <c r="EN58" i="9"/>
  <c r="EN59" i="9"/>
  <c r="EN60" i="9"/>
  <c r="EN61" i="9"/>
  <c r="EN62" i="9"/>
  <c r="EN63" i="9"/>
  <c r="EN64" i="9"/>
  <c r="EN65" i="9"/>
  <c r="EN66" i="9"/>
  <c r="EN67" i="9"/>
  <c r="EN68" i="9"/>
  <c r="EN69" i="9"/>
  <c r="EN70" i="9"/>
  <c r="EN71" i="9"/>
  <c r="EN72" i="9"/>
  <c r="EN73" i="9"/>
  <c r="EN74" i="9"/>
  <c r="EN75" i="9"/>
  <c r="EN76" i="9"/>
  <c r="EN77" i="9"/>
  <c r="EN78" i="9"/>
  <c r="EN79" i="9"/>
  <c r="EN80" i="9"/>
  <c r="EN81" i="9"/>
  <c r="EN82" i="9"/>
  <c r="EN83" i="9"/>
  <c r="EN84" i="9"/>
  <c r="EN4" i="9"/>
  <c r="EL5" i="8"/>
  <c r="EM5" i="8"/>
  <c r="EL6" i="8"/>
  <c r="EM6" i="8"/>
  <c r="EL7" i="8"/>
  <c r="EM7" i="8"/>
  <c r="EL8" i="8"/>
  <c r="EM8" i="8"/>
  <c r="EL9" i="8"/>
  <c r="EM9" i="8"/>
  <c r="EL10" i="8"/>
  <c r="EM10" i="8"/>
  <c r="EL11" i="8"/>
  <c r="EM11" i="8"/>
  <c r="EL12" i="8"/>
  <c r="EM12" i="8"/>
  <c r="EL13" i="8"/>
  <c r="EM13" i="8"/>
  <c r="EL14" i="8"/>
  <c r="EM14" i="8"/>
  <c r="EL15" i="8"/>
  <c r="EM15" i="8"/>
  <c r="EL16" i="8"/>
  <c r="EM16" i="8"/>
  <c r="EL17" i="8"/>
  <c r="EM17" i="8"/>
  <c r="EL18" i="8"/>
  <c r="EM18" i="8"/>
  <c r="EL19" i="8"/>
  <c r="EM19" i="8"/>
  <c r="EL20" i="8"/>
  <c r="EM20" i="8"/>
  <c r="EL21" i="8"/>
  <c r="EM21" i="8"/>
  <c r="EL22" i="8"/>
  <c r="EM22" i="8"/>
  <c r="EL23" i="8"/>
  <c r="EM23" i="8"/>
  <c r="EL24" i="8"/>
  <c r="EM24" i="8"/>
  <c r="EL25" i="8"/>
  <c r="EM25" i="8"/>
  <c r="EL26" i="8"/>
  <c r="EM26" i="8"/>
  <c r="EL27" i="8"/>
  <c r="EM27" i="8"/>
  <c r="EL28" i="8"/>
  <c r="EM28" i="8"/>
  <c r="EL29" i="8"/>
  <c r="EM29" i="8"/>
  <c r="EL30" i="8"/>
  <c r="EM30" i="8"/>
  <c r="EL31" i="8"/>
  <c r="EM31" i="8"/>
  <c r="EL32" i="8"/>
  <c r="EM32" i="8"/>
  <c r="EL33" i="8"/>
  <c r="EM33" i="8"/>
  <c r="EL34" i="8"/>
  <c r="EM34" i="8"/>
  <c r="EL35" i="8"/>
  <c r="EM35" i="8"/>
  <c r="EL36" i="8"/>
  <c r="EM36" i="8"/>
  <c r="EL37" i="8"/>
  <c r="EM37" i="8"/>
  <c r="EL38" i="8"/>
  <c r="EM38" i="8"/>
  <c r="EL39" i="8"/>
  <c r="EM39" i="8"/>
  <c r="EL40" i="8"/>
  <c r="EM40" i="8"/>
  <c r="EL41" i="8"/>
  <c r="EM41" i="8"/>
  <c r="EL42" i="8"/>
  <c r="EM42" i="8"/>
  <c r="EL43" i="8"/>
  <c r="EM43" i="8"/>
  <c r="EL44" i="8"/>
  <c r="EM44" i="8"/>
  <c r="EL45" i="8"/>
  <c r="EM45" i="8"/>
  <c r="EL46" i="8"/>
  <c r="EM46" i="8"/>
  <c r="EL47" i="8"/>
  <c r="EM47" i="8"/>
  <c r="EL48" i="8"/>
  <c r="EM48" i="8"/>
  <c r="EL49" i="8"/>
  <c r="EM49" i="8"/>
  <c r="EL50" i="8"/>
  <c r="EM50" i="8"/>
  <c r="EL51" i="8"/>
  <c r="EM51" i="8"/>
  <c r="EL52" i="8"/>
  <c r="EM52" i="8"/>
  <c r="EL53" i="8"/>
  <c r="EM53" i="8"/>
  <c r="EL54" i="8"/>
  <c r="EM54" i="8"/>
  <c r="EL55" i="8"/>
  <c r="EM55" i="8"/>
  <c r="EL56" i="8"/>
  <c r="EM56" i="8"/>
  <c r="EL57" i="8"/>
  <c r="EM57" i="8"/>
  <c r="EL58" i="8"/>
  <c r="EM58" i="8"/>
  <c r="EL59" i="8"/>
  <c r="EM59" i="8"/>
  <c r="EL60" i="8"/>
  <c r="EM60" i="8"/>
  <c r="EL61" i="8"/>
  <c r="EM61" i="8"/>
  <c r="EL62" i="8"/>
  <c r="EM62" i="8"/>
  <c r="EL63" i="8"/>
  <c r="EM63" i="8"/>
  <c r="EL64" i="8"/>
  <c r="EM64" i="8"/>
  <c r="EL65" i="8"/>
  <c r="EM65" i="8"/>
  <c r="EL66" i="8"/>
  <c r="EM66" i="8"/>
  <c r="EL67" i="8"/>
  <c r="EM67" i="8"/>
  <c r="EL68" i="8"/>
  <c r="EM68" i="8"/>
  <c r="EL69" i="8"/>
  <c r="EM69" i="8"/>
  <c r="EL70" i="8"/>
  <c r="EM70" i="8"/>
  <c r="EL71" i="8"/>
  <c r="EM71" i="8"/>
  <c r="EL72" i="8"/>
  <c r="EM72" i="8"/>
  <c r="EL73" i="8"/>
  <c r="EM73" i="8"/>
  <c r="EL74" i="8"/>
  <c r="EM74" i="8"/>
  <c r="EL75" i="8"/>
  <c r="EM75" i="8"/>
  <c r="EL76" i="8"/>
  <c r="EM76" i="8"/>
  <c r="EL77" i="8"/>
  <c r="EM77" i="8"/>
  <c r="EL78" i="8"/>
  <c r="EM78" i="8"/>
  <c r="EL79" i="8"/>
  <c r="EM79" i="8"/>
  <c r="EL80" i="8"/>
  <c r="EM80" i="8"/>
  <c r="EL81" i="8"/>
  <c r="EM81" i="8"/>
  <c r="EL82" i="8"/>
  <c r="EM82" i="8"/>
  <c r="EL83" i="8"/>
  <c r="EM83" i="8"/>
  <c r="EL84" i="8"/>
  <c r="EM84" i="8"/>
  <c r="EM4" i="8"/>
  <c r="EL4" i="8"/>
  <c r="EA5" i="8"/>
  <c r="EC5" i="8"/>
  <c r="EA6" i="8"/>
  <c r="EC6" i="8"/>
  <c r="EA7" i="8"/>
  <c r="EC7" i="8"/>
  <c r="EA8" i="8"/>
  <c r="EC8" i="8"/>
  <c r="EA9" i="8"/>
  <c r="EC9" i="8"/>
  <c r="EA10" i="8"/>
  <c r="EC10" i="8"/>
  <c r="EA11" i="8"/>
  <c r="EC11" i="8"/>
  <c r="EA12" i="8"/>
  <c r="EC12" i="8"/>
  <c r="EA13" i="8"/>
  <c r="EC13" i="8"/>
  <c r="EA14" i="8"/>
  <c r="EC14" i="8"/>
  <c r="EA15" i="8"/>
  <c r="EC15" i="8"/>
  <c r="EA16" i="8"/>
  <c r="EC16" i="8"/>
  <c r="EA17" i="8"/>
  <c r="EC17" i="8"/>
  <c r="EA18" i="8"/>
  <c r="EC18" i="8"/>
  <c r="EA19" i="8"/>
  <c r="EC19" i="8"/>
  <c r="EA20" i="8"/>
  <c r="EC20" i="8"/>
  <c r="EA21" i="8"/>
  <c r="EC21" i="8"/>
  <c r="EA22" i="8"/>
  <c r="EC22" i="8"/>
  <c r="EA23" i="8"/>
  <c r="EC23" i="8"/>
  <c r="EA24" i="8"/>
  <c r="EC24" i="8"/>
  <c r="EA25" i="8"/>
  <c r="EC25" i="8"/>
  <c r="EA26" i="8"/>
  <c r="EC26" i="8"/>
  <c r="EA27" i="8"/>
  <c r="EC27" i="8"/>
  <c r="EA28" i="8"/>
  <c r="EC28" i="8"/>
  <c r="EA29" i="8"/>
  <c r="EC29" i="8"/>
  <c r="EA30" i="8"/>
  <c r="EC30" i="8"/>
  <c r="EA31" i="8"/>
  <c r="EC31" i="8"/>
  <c r="EA32" i="8"/>
  <c r="EC32" i="8"/>
  <c r="EA33" i="8"/>
  <c r="EC33" i="8"/>
  <c r="EA34" i="8"/>
  <c r="EC34" i="8"/>
  <c r="EA35" i="8"/>
  <c r="EC35" i="8"/>
  <c r="EA36" i="8"/>
  <c r="EC36" i="8"/>
  <c r="EA37" i="8"/>
  <c r="EC37" i="8"/>
  <c r="EA38" i="8"/>
  <c r="EC38" i="8"/>
  <c r="EA39" i="8"/>
  <c r="EC39" i="8"/>
  <c r="EA40" i="8"/>
  <c r="EC40" i="8"/>
  <c r="EA41" i="8"/>
  <c r="EC41" i="8"/>
  <c r="EA42" i="8"/>
  <c r="EC42" i="8"/>
  <c r="EA43" i="8"/>
  <c r="EC43" i="8"/>
  <c r="EA44" i="8"/>
  <c r="EC44" i="8"/>
  <c r="EA45" i="8"/>
  <c r="EC45" i="8"/>
  <c r="EA46" i="8"/>
  <c r="EC46" i="8"/>
  <c r="EA47" i="8"/>
  <c r="EC47" i="8"/>
  <c r="EA48" i="8"/>
  <c r="EC48" i="8"/>
  <c r="EA49" i="8"/>
  <c r="EC49" i="8"/>
  <c r="EA50" i="8"/>
  <c r="EC50" i="8"/>
  <c r="EA51" i="8"/>
  <c r="EC51" i="8"/>
  <c r="EA52" i="8"/>
  <c r="EC52" i="8"/>
  <c r="EA53" i="8"/>
  <c r="EC53" i="8"/>
  <c r="EA54" i="8"/>
  <c r="EC54" i="8"/>
  <c r="EA55" i="8"/>
  <c r="EC55" i="8"/>
  <c r="EA56" i="8"/>
  <c r="EC56" i="8"/>
  <c r="EA57" i="8"/>
  <c r="EC57" i="8"/>
  <c r="EA58" i="8"/>
  <c r="EC58" i="8"/>
  <c r="EA59" i="8"/>
  <c r="EC59" i="8"/>
  <c r="EA60" i="8"/>
  <c r="EC60" i="8"/>
  <c r="EA61" i="8"/>
  <c r="EC61" i="8"/>
  <c r="EA62" i="8"/>
  <c r="EC62" i="8"/>
  <c r="EA63" i="8"/>
  <c r="EC63" i="8"/>
  <c r="EA64" i="8"/>
  <c r="EC64" i="8"/>
  <c r="EA65" i="8"/>
  <c r="EC65" i="8"/>
  <c r="EA66" i="8"/>
  <c r="EC66" i="8"/>
  <c r="EA67" i="8"/>
  <c r="EC67" i="8"/>
  <c r="EA68" i="8"/>
  <c r="EC68" i="8"/>
  <c r="EA69" i="8"/>
  <c r="EC69" i="8"/>
  <c r="EA70" i="8"/>
  <c r="EC70" i="8"/>
  <c r="EA71" i="8"/>
  <c r="EC71" i="8"/>
  <c r="EA72" i="8"/>
  <c r="EC72" i="8"/>
  <c r="EA73" i="8"/>
  <c r="EC73" i="8"/>
  <c r="EA74" i="8"/>
  <c r="EC74" i="8"/>
  <c r="EA75" i="8"/>
  <c r="EC75" i="8"/>
  <c r="EA76" i="8"/>
  <c r="EC76" i="8"/>
  <c r="EA77" i="8"/>
  <c r="EC77" i="8"/>
  <c r="EA78" i="8"/>
  <c r="EC78" i="8"/>
  <c r="EA79" i="8"/>
  <c r="EC79" i="8"/>
  <c r="EA80" i="8"/>
  <c r="EC80" i="8"/>
  <c r="EA81" i="8"/>
  <c r="EC81" i="8"/>
  <c r="EA82" i="8"/>
  <c r="EC82" i="8"/>
  <c r="EA83" i="8"/>
  <c r="EC83" i="8"/>
  <c r="EA84" i="8"/>
  <c r="EC84" i="8"/>
  <c r="EC4" i="8"/>
  <c r="EA4" i="8"/>
  <c r="ED5" i="9"/>
  <c r="ED6" i="9"/>
  <c r="ED7" i="9"/>
  <c r="ED8" i="9"/>
  <c r="ED9" i="9"/>
  <c r="ED10" i="9"/>
  <c r="ED11" i="9"/>
  <c r="ED12" i="9"/>
  <c r="ED13" i="9"/>
  <c r="ED14" i="9"/>
  <c r="ED15" i="9"/>
  <c r="ED16" i="9"/>
  <c r="ED17" i="9"/>
  <c r="ED18" i="9"/>
  <c r="ED19" i="9"/>
  <c r="ED20" i="9"/>
  <c r="ED21" i="9"/>
  <c r="ED22" i="9"/>
  <c r="ED23" i="9"/>
  <c r="ED24" i="9"/>
  <c r="ED25" i="9"/>
  <c r="ED26" i="9"/>
  <c r="ED27" i="9"/>
  <c r="ED28" i="9"/>
  <c r="ED29" i="9"/>
  <c r="ED30" i="9"/>
  <c r="ED31" i="9"/>
  <c r="ED32" i="9"/>
  <c r="ED33" i="9"/>
  <c r="ED34" i="9"/>
  <c r="ED35" i="9"/>
  <c r="ED36" i="9"/>
  <c r="ED37" i="9"/>
  <c r="ED38" i="9"/>
  <c r="ED39" i="9"/>
  <c r="ED40" i="9"/>
  <c r="ED41" i="9"/>
  <c r="ED42" i="9"/>
  <c r="ED43" i="9"/>
  <c r="ED44" i="9"/>
  <c r="ED45" i="9"/>
  <c r="ED46" i="9"/>
  <c r="ED47" i="9"/>
  <c r="ED48" i="9"/>
  <c r="ED49" i="9"/>
  <c r="ED50" i="9"/>
  <c r="ED51" i="9"/>
  <c r="ED52" i="9"/>
  <c r="ED53" i="9"/>
  <c r="ED54" i="9"/>
  <c r="ED55" i="9"/>
  <c r="ED56" i="9"/>
  <c r="ED57" i="9"/>
  <c r="ED58" i="9"/>
  <c r="ED59" i="9"/>
  <c r="ED60" i="9"/>
  <c r="ED61" i="9"/>
  <c r="ED62" i="9"/>
  <c r="ED63" i="9"/>
  <c r="ED64" i="9"/>
  <c r="ED65" i="9"/>
  <c r="ED66" i="9"/>
  <c r="ED67" i="9"/>
  <c r="ED68" i="9"/>
  <c r="ED69" i="9"/>
  <c r="ED70" i="9"/>
  <c r="ED71" i="9"/>
  <c r="ED72" i="9"/>
  <c r="ED73" i="9"/>
  <c r="ED74" i="9"/>
  <c r="ED75" i="9"/>
  <c r="ED76" i="9"/>
  <c r="ED77" i="9"/>
  <c r="ED78" i="9"/>
  <c r="ED79" i="9"/>
  <c r="ED80" i="9"/>
  <c r="ED81" i="9"/>
  <c r="ED82" i="9"/>
  <c r="ED83" i="9"/>
  <c r="ED84" i="9"/>
  <c r="ED4" i="9"/>
  <c r="DV6" i="9"/>
  <c r="DQ5" i="9"/>
  <c r="DV5" i="9"/>
  <c r="DW5" i="9"/>
  <c r="DQ6" i="9"/>
  <c r="DW6" i="9"/>
  <c r="DQ7" i="9"/>
  <c r="DV7" i="9"/>
  <c r="DW7" i="9"/>
  <c r="DQ8" i="9"/>
  <c r="DV8" i="9"/>
  <c r="DW8" i="9"/>
  <c r="DQ9" i="9"/>
  <c r="DV9" i="9"/>
  <c r="DW9" i="9"/>
  <c r="DQ10" i="9"/>
  <c r="DV10" i="9"/>
  <c r="DW10" i="9"/>
  <c r="DQ11" i="9"/>
  <c r="DV11" i="9"/>
  <c r="DW11" i="9"/>
  <c r="DQ12" i="9"/>
  <c r="DV12" i="9"/>
  <c r="DW12" i="9"/>
  <c r="DQ13" i="9"/>
  <c r="DV13" i="9"/>
  <c r="DW13" i="9"/>
  <c r="DQ14" i="9"/>
  <c r="DV14" i="9"/>
  <c r="DW14" i="9"/>
  <c r="DQ15" i="9"/>
  <c r="DV15" i="9"/>
  <c r="DW15" i="9"/>
  <c r="DQ16" i="9"/>
  <c r="DV16" i="9"/>
  <c r="DW16" i="9"/>
  <c r="DQ17" i="9"/>
  <c r="DV17" i="9"/>
  <c r="DW17" i="9"/>
  <c r="DQ18" i="9"/>
  <c r="DV18" i="9"/>
  <c r="DW18" i="9"/>
  <c r="DQ19" i="9"/>
  <c r="DV19" i="9"/>
  <c r="DW19" i="9"/>
  <c r="DQ20" i="9"/>
  <c r="DV20" i="9"/>
  <c r="DW20" i="9"/>
  <c r="DQ21" i="9"/>
  <c r="DV21" i="9"/>
  <c r="DW21" i="9"/>
  <c r="DQ22" i="9"/>
  <c r="DV22" i="9"/>
  <c r="DW22" i="9"/>
  <c r="DQ23" i="9"/>
  <c r="DV23" i="9"/>
  <c r="DW23" i="9"/>
  <c r="DQ24" i="9"/>
  <c r="DV24" i="9"/>
  <c r="DW24" i="9"/>
  <c r="DQ25" i="9"/>
  <c r="DV25" i="9"/>
  <c r="DW25" i="9"/>
  <c r="DQ26" i="9"/>
  <c r="DV26" i="9"/>
  <c r="DW26" i="9"/>
  <c r="DQ27" i="9"/>
  <c r="DV27" i="9"/>
  <c r="DW27" i="9"/>
  <c r="DQ28" i="9"/>
  <c r="DV28" i="9"/>
  <c r="DW28" i="9"/>
  <c r="DQ29" i="9"/>
  <c r="DV29" i="9"/>
  <c r="DW29" i="9"/>
  <c r="DQ30" i="9"/>
  <c r="DV30" i="9"/>
  <c r="DW30" i="9"/>
  <c r="DQ31" i="9"/>
  <c r="DV31" i="9"/>
  <c r="DW31" i="9"/>
  <c r="DQ32" i="9"/>
  <c r="DV32" i="9"/>
  <c r="DW32" i="9"/>
  <c r="DQ33" i="9"/>
  <c r="DV33" i="9"/>
  <c r="DW33" i="9"/>
  <c r="DQ34" i="9"/>
  <c r="DV34" i="9"/>
  <c r="DW34" i="9"/>
  <c r="DQ35" i="9"/>
  <c r="DV35" i="9"/>
  <c r="DW35" i="9"/>
  <c r="DQ36" i="9"/>
  <c r="DV36" i="9"/>
  <c r="DW36" i="9"/>
  <c r="DQ37" i="9"/>
  <c r="DV37" i="9"/>
  <c r="DW37" i="9"/>
  <c r="DQ38" i="9"/>
  <c r="DV38" i="9"/>
  <c r="DW38" i="9"/>
  <c r="DQ39" i="9"/>
  <c r="DV39" i="9"/>
  <c r="DW39" i="9"/>
  <c r="DQ40" i="9"/>
  <c r="DV40" i="9"/>
  <c r="DW40" i="9"/>
  <c r="DQ41" i="9"/>
  <c r="DV41" i="9"/>
  <c r="DW41" i="9"/>
  <c r="DQ42" i="9"/>
  <c r="DV42" i="9"/>
  <c r="DW42" i="9"/>
  <c r="DQ43" i="9"/>
  <c r="DV43" i="9"/>
  <c r="DW43" i="9"/>
  <c r="DQ44" i="9"/>
  <c r="DV44" i="9"/>
  <c r="DW44" i="9"/>
  <c r="DQ45" i="9"/>
  <c r="DV45" i="9"/>
  <c r="DW45" i="9"/>
  <c r="DQ46" i="9"/>
  <c r="DV46" i="9"/>
  <c r="DW46" i="9"/>
  <c r="DQ47" i="9"/>
  <c r="DV47" i="9"/>
  <c r="DW47" i="9"/>
  <c r="DQ48" i="9"/>
  <c r="DV48" i="9"/>
  <c r="DW48" i="9"/>
  <c r="DQ49" i="9"/>
  <c r="DV49" i="9"/>
  <c r="DW49" i="9"/>
  <c r="DQ50" i="9"/>
  <c r="DV50" i="9"/>
  <c r="DW50" i="9"/>
  <c r="DQ51" i="9"/>
  <c r="DV51" i="9"/>
  <c r="DW51" i="9"/>
  <c r="DQ52" i="9"/>
  <c r="DV52" i="9"/>
  <c r="DW52" i="9"/>
  <c r="DQ53" i="9"/>
  <c r="DV53" i="9"/>
  <c r="DW53" i="9"/>
  <c r="DQ54" i="9"/>
  <c r="DV54" i="9"/>
  <c r="DW54" i="9"/>
  <c r="DQ55" i="9"/>
  <c r="DV55" i="9"/>
  <c r="DW55" i="9"/>
  <c r="DQ56" i="9"/>
  <c r="DV56" i="9"/>
  <c r="DW56" i="9"/>
  <c r="DQ57" i="9"/>
  <c r="DV57" i="9"/>
  <c r="DW57" i="9"/>
  <c r="DQ58" i="9"/>
  <c r="DV58" i="9"/>
  <c r="DW58" i="9"/>
  <c r="DQ59" i="9"/>
  <c r="DV59" i="9"/>
  <c r="DW59" i="9"/>
  <c r="DQ60" i="9"/>
  <c r="DV60" i="9"/>
  <c r="DW60" i="9"/>
  <c r="DQ61" i="9"/>
  <c r="DV61" i="9"/>
  <c r="DW61" i="9"/>
  <c r="DQ62" i="9"/>
  <c r="DV62" i="9"/>
  <c r="DW62" i="9"/>
  <c r="DQ63" i="9"/>
  <c r="DV63" i="9"/>
  <c r="DW63" i="9"/>
  <c r="DQ64" i="9"/>
  <c r="DV64" i="9"/>
  <c r="DW64" i="9"/>
  <c r="DQ65" i="9"/>
  <c r="DV65" i="9"/>
  <c r="DW65" i="9"/>
  <c r="DQ66" i="9"/>
  <c r="DV66" i="9"/>
  <c r="DW66" i="9"/>
  <c r="DQ67" i="9"/>
  <c r="DV67" i="9"/>
  <c r="DW67" i="9"/>
  <c r="DQ68" i="9"/>
  <c r="DV68" i="9"/>
  <c r="DW68" i="9"/>
  <c r="DQ69" i="9"/>
  <c r="DV69" i="9"/>
  <c r="DW69" i="9"/>
  <c r="DQ70" i="9"/>
  <c r="DV70" i="9"/>
  <c r="DW70" i="9"/>
  <c r="DQ71" i="9"/>
  <c r="DV71" i="9"/>
  <c r="DW71" i="9"/>
  <c r="DQ72" i="9"/>
  <c r="DV72" i="9"/>
  <c r="DW72" i="9"/>
  <c r="DQ73" i="9"/>
  <c r="DV73" i="9"/>
  <c r="DW73" i="9"/>
  <c r="DQ74" i="9"/>
  <c r="DV74" i="9"/>
  <c r="DW74" i="9"/>
  <c r="DQ75" i="9"/>
  <c r="DV75" i="9"/>
  <c r="DW75" i="9"/>
  <c r="DQ76" i="9"/>
  <c r="DV76" i="9"/>
  <c r="DW76" i="9"/>
  <c r="DQ77" i="9"/>
  <c r="DV77" i="9"/>
  <c r="DW77" i="9"/>
  <c r="DQ78" i="9"/>
  <c r="DV78" i="9"/>
  <c r="DW78" i="9"/>
  <c r="DQ79" i="9"/>
  <c r="DV79" i="9"/>
  <c r="DW79" i="9"/>
  <c r="DQ80" i="9"/>
  <c r="DV80" i="9"/>
  <c r="DW80" i="9"/>
  <c r="DQ81" i="9"/>
  <c r="DV81" i="9"/>
  <c r="DW81" i="9"/>
  <c r="DQ82" i="9"/>
  <c r="DV82" i="9"/>
  <c r="DW82" i="9"/>
  <c r="DQ83" i="9"/>
  <c r="DV83" i="9"/>
  <c r="DW83" i="9"/>
  <c r="DQ84" i="9"/>
  <c r="DV84" i="9"/>
  <c r="DW84" i="9"/>
  <c r="DW4" i="9"/>
  <c r="DV4" i="9"/>
  <c r="DQ4" i="9"/>
  <c r="DO5" i="8"/>
  <c r="DP5" i="8"/>
  <c r="DT5" i="8"/>
  <c r="DU5" i="8"/>
  <c r="DO6" i="8"/>
  <c r="DP6" i="8"/>
  <c r="DT6" i="8"/>
  <c r="DU6" i="8"/>
  <c r="DO7" i="8"/>
  <c r="DP7" i="8"/>
  <c r="DT7" i="8"/>
  <c r="DU7" i="8"/>
  <c r="DO8" i="8"/>
  <c r="DP8" i="8"/>
  <c r="DT8" i="8"/>
  <c r="DU8" i="8"/>
  <c r="DO9" i="8"/>
  <c r="DP9" i="8"/>
  <c r="DT9" i="8"/>
  <c r="DU9" i="8"/>
  <c r="DO10" i="8"/>
  <c r="DP10" i="8"/>
  <c r="DT10" i="8"/>
  <c r="DU10" i="8"/>
  <c r="DO11" i="8"/>
  <c r="DP11" i="8"/>
  <c r="DT11" i="8"/>
  <c r="DU11" i="8"/>
  <c r="DO12" i="8"/>
  <c r="DP12" i="8"/>
  <c r="DT12" i="8"/>
  <c r="DU12" i="8"/>
  <c r="DO13" i="8"/>
  <c r="DP13" i="8"/>
  <c r="DT13" i="8"/>
  <c r="DU13" i="8"/>
  <c r="DO14" i="8"/>
  <c r="DP14" i="8"/>
  <c r="DT14" i="8"/>
  <c r="DU14" i="8"/>
  <c r="DO15" i="8"/>
  <c r="DP15" i="8"/>
  <c r="DT15" i="8"/>
  <c r="DU15" i="8"/>
  <c r="DO16" i="8"/>
  <c r="DP16" i="8"/>
  <c r="DT16" i="8"/>
  <c r="DU16" i="8"/>
  <c r="DO17" i="8"/>
  <c r="DP17" i="8"/>
  <c r="DT17" i="8"/>
  <c r="DU17" i="8"/>
  <c r="DO18" i="8"/>
  <c r="DP18" i="8"/>
  <c r="DT18" i="8"/>
  <c r="DU18" i="8"/>
  <c r="DO19" i="8"/>
  <c r="DP19" i="8"/>
  <c r="DT19" i="8"/>
  <c r="DU19" i="8"/>
  <c r="DO20" i="8"/>
  <c r="DP20" i="8"/>
  <c r="DT20" i="8"/>
  <c r="DU20" i="8"/>
  <c r="DO21" i="8"/>
  <c r="DP21" i="8"/>
  <c r="DT21" i="8"/>
  <c r="DU21" i="8"/>
  <c r="DO22" i="8"/>
  <c r="DP22" i="8"/>
  <c r="DT22" i="8"/>
  <c r="DU22" i="8"/>
  <c r="DO23" i="8"/>
  <c r="DP23" i="8"/>
  <c r="DT23" i="8"/>
  <c r="DU23" i="8"/>
  <c r="DO24" i="8"/>
  <c r="DP24" i="8"/>
  <c r="DT24" i="8"/>
  <c r="DU24" i="8"/>
  <c r="DO25" i="8"/>
  <c r="DP25" i="8"/>
  <c r="DT25" i="8"/>
  <c r="DU25" i="8"/>
  <c r="DO26" i="8"/>
  <c r="DP26" i="8"/>
  <c r="DT26" i="8"/>
  <c r="DU26" i="8"/>
  <c r="DO27" i="8"/>
  <c r="DP27" i="8"/>
  <c r="DT27" i="8"/>
  <c r="DU27" i="8"/>
  <c r="DO28" i="8"/>
  <c r="DP28" i="8"/>
  <c r="DT28" i="8"/>
  <c r="DU28" i="8"/>
  <c r="DO29" i="8"/>
  <c r="DP29" i="8"/>
  <c r="DT29" i="8"/>
  <c r="DU29" i="8"/>
  <c r="DO30" i="8"/>
  <c r="DP30" i="8"/>
  <c r="DT30" i="8"/>
  <c r="DU30" i="8"/>
  <c r="DO31" i="8"/>
  <c r="DP31" i="8"/>
  <c r="DT31" i="8"/>
  <c r="DU31" i="8"/>
  <c r="DO32" i="8"/>
  <c r="DP32" i="8"/>
  <c r="DT32" i="8"/>
  <c r="DU32" i="8"/>
  <c r="DO33" i="8"/>
  <c r="DP33" i="8"/>
  <c r="DT33" i="8"/>
  <c r="DU33" i="8"/>
  <c r="DO34" i="8"/>
  <c r="DP34" i="8"/>
  <c r="DT34" i="8"/>
  <c r="DU34" i="8"/>
  <c r="DO35" i="8"/>
  <c r="DP35" i="8"/>
  <c r="DT35" i="8"/>
  <c r="DU35" i="8"/>
  <c r="DO36" i="8"/>
  <c r="DP36" i="8"/>
  <c r="DT36" i="8"/>
  <c r="DU36" i="8"/>
  <c r="DO37" i="8"/>
  <c r="DP37" i="8"/>
  <c r="DT37" i="8"/>
  <c r="DU37" i="8"/>
  <c r="DO38" i="8"/>
  <c r="DP38" i="8"/>
  <c r="DT38" i="8"/>
  <c r="DU38" i="8"/>
  <c r="DO39" i="8"/>
  <c r="DP39" i="8"/>
  <c r="DT39" i="8"/>
  <c r="DU39" i="8"/>
  <c r="DO40" i="8"/>
  <c r="DP40" i="8"/>
  <c r="DT40" i="8"/>
  <c r="DU40" i="8"/>
  <c r="DO41" i="8"/>
  <c r="DP41" i="8"/>
  <c r="DT41" i="8"/>
  <c r="DU41" i="8"/>
  <c r="DO42" i="8"/>
  <c r="DP42" i="8"/>
  <c r="DT42" i="8"/>
  <c r="DU42" i="8"/>
  <c r="DO43" i="8"/>
  <c r="DP43" i="8"/>
  <c r="DT43" i="8"/>
  <c r="DU43" i="8"/>
  <c r="DO44" i="8"/>
  <c r="DP44" i="8"/>
  <c r="DT44" i="8"/>
  <c r="DU44" i="8"/>
  <c r="DO45" i="8"/>
  <c r="DP45" i="8"/>
  <c r="DT45" i="8"/>
  <c r="DU45" i="8"/>
  <c r="DO46" i="8"/>
  <c r="DP46" i="8"/>
  <c r="DT46" i="8"/>
  <c r="DU46" i="8"/>
  <c r="DO47" i="8"/>
  <c r="DP47" i="8"/>
  <c r="DT47" i="8"/>
  <c r="DU47" i="8"/>
  <c r="DO48" i="8"/>
  <c r="DP48" i="8"/>
  <c r="DT48" i="8"/>
  <c r="DU48" i="8"/>
  <c r="DO49" i="8"/>
  <c r="DP49" i="8"/>
  <c r="DT49" i="8"/>
  <c r="DU49" i="8"/>
  <c r="DO50" i="8"/>
  <c r="DP50" i="8"/>
  <c r="DT50" i="8"/>
  <c r="DU50" i="8"/>
  <c r="DO51" i="8"/>
  <c r="DP51" i="8"/>
  <c r="DT51" i="8"/>
  <c r="DU51" i="8"/>
  <c r="DO52" i="8"/>
  <c r="DP52" i="8"/>
  <c r="DT52" i="8"/>
  <c r="DU52" i="8"/>
  <c r="DO53" i="8"/>
  <c r="DP53" i="8"/>
  <c r="DT53" i="8"/>
  <c r="DU53" i="8"/>
  <c r="DO54" i="8"/>
  <c r="DP54" i="8"/>
  <c r="DT54" i="8"/>
  <c r="DU54" i="8"/>
  <c r="DO55" i="8"/>
  <c r="DP55" i="8"/>
  <c r="DT55" i="8"/>
  <c r="DU55" i="8"/>
  <c r="DO56" i="8"/>
  <c r="DP56" i="8"/>
  <c r="DT56" i="8"/>
  <c r="DU56" i="8"/>
  <c r="DO57" i="8"/>
  <c r="DP57" i="8"/>
  <c r="DT57" i="8"/>
  <c r="DU57" i="8"/>
  <c r="DO58" i="8"/>
  <c r="DP58" i="8"/>
  <c r="DT58" i="8"/>
  <c r="DU58" i="8"/>
  <c r="DO59" i="8"/>
  <c r="DP59" i="8"/>
  <c r="DT59" i="8"/>
  <c r="DU59" i="8"/>
  <c r="DO60" i="8"/>
  <c r="DP60" i="8"/>
  <c r="DT60" i="8"/>
  <c r="DU60" i="8"/>
  <c r="DO61" i="8"/>
  <c r="DP61" i="8"/>
  <c r="DT61" i="8"/>
  <c r="DU61" i="8"/>
  <c r="DO62" i="8"/>
  <c r="DP62" i="8"/>
  <c r="DT62" i="8"/>
  <c r="DU62" i="8"/>
  <c r="DO63" i="8"/>
  <c r="DP63" i="8"/>
  <c r="DT63" i="8"/>
  <c r="DU63" i="8"/>
  <c r="DO64" i="8"/>
  <c r="DP64" i="8"/>
  <c r="DT64" i="8"/>
  <c r="DU64" i="8"/>
  <c r="DO65" i="8"/>
  <c r="DP65" i="8"/>
  <c r="DT65" i="8"/>
  <c r="DU65" i="8"/>
  <c r="DO66" i="8"/>
  <c r="DP66" i="8"/>
  <c r="DT66" i="8"/>
  <c r="DU66" i="8"/>
  <c r="DO67" i="8"/>
  <c r="DP67" i="8"/>
  <c r="DT67" i="8"/>
  <c r="DU67" i="8"/>
  <c r="DO68" i="8"/>
  <c r="DP68" i="8"/>
  <c r="DT68" i="8"/>
  <c r="DU68" i="8"/>
  <c r="DO69" i="8"/>
  <c r="DP69" i="8"/>
  <c r="DT69" i="8"/>
  <c r="DU69" i="8"/>
  <c r="DO70" i="8"/>
  <c r="DP70" i="8"/>
  <c r="DT70" i="8"/>
  <c r="DU70" i="8"/>
  <c r="DO71" i="8"/>
  <c r="DP71" i="8"/>
  <c r="DT71" i="8"/>
  <c r="DU71" i="8"/>
  <c r="DO72" i="8"/>
  <c r="DP72" i="8"/>
  <c r="DT72" i="8"/>
  <c r="DU72" i="8"/>
  <c r="DO73" i="8"/>
  <c r="DP73" i="8"/>
  <c r="DT73" i="8"/>
  <c r="DU73" i="8"/>
  <c r="DO74" i="8"/>
  <c r="DP74" i="8"/>
  <c r="DT74" i="8"/>
  <c r="DU74" i="8"/>
  <c r="DO75" i="8"/>
  <c r="DP75" i="8"/>
  <c r="DT75" i="8"/>
  <c r="DU75" i="8"/>
  <c r="DO76" i="8"/>
  <c r="DP76" i="8"/>
  <c r="DT76" i="8"/>
  <c r="DU76" i="8"/>
  <c r="DO77" i="8"/>
  <c r="DP77" i="8"/>
  <c r="DT77" i="8"/>
  <c r="DU77" i="8"/>
  <c r="DO78" i="8"/>
  <c r="DP78" i="8"/>
  <c r="DT78" i="8"/>
  <c r="DU78" i="8"/>
  <c r="DO79" i="8"/>
  <c r="DP79" i="8"/>
  <c r="DT79" i="8"/>
  <c r="DU79" i="8"/>
  <c r="DO80" i="8"/>
  <c r="DP80" i="8"/>
  <c r="DT80" i="8"/>
  <c r="DU80" i="8"/>
  <c r="DO81" i="8"/>
  <c r="DP81" i="8"/>
  <c r="DT81" i="8"/>
  <c r="DU81" i="8"/>
  <c r="DO82" i="8"/>
  <c r="DP82" i="8"/>
  <c r="DT82" i="8"/>
  <c r="DU82" i="8"/>
  <c r="DO83" i="8"/>
  <c r="DP83" i="8"/>
  <c r="DT83" i="8"/>
  <c r="DU83" i="8"/>
  <c r="DO84" i="8"/>
  <c r="DP84" i="8"/>
  <c r="DT84" i="8"/>
  <c r="DU84" i="8"/>
  <c r="DU4" i="8"/>
  <c r="DT4" i="8"/>
  <c r="DP4" i="8"/>
  <c r="DO4" i="8"/>
  <c r="DH5" i="8"/>
  <c r="DI5" i="8"/>
  <c r="DH6" i="8"/>
  <c r="DI6" i="8"/>
  <c r="DH7" i="8"/>
  <c r="DI7" i="8"/>
  <c r="DH8" i="8"/>
  <c r="DI8" i="8"/>
  <c r="DH9" i="8"/>
  <c r="DI9" i="8"/>
  <c r="DH10" i="8"/>
  <c r="DI10" i="8"/>
  <c r="DH11" i="8"/>
  <c r="DI11" i="8"/>
  <c r="DH12" i="8"/>
  <c r="DI12" i="8"/>
  <c r="DH13" i="8"/>
  <c r="DI13" i="8"/>
  <c r="DH14" i="8"/>
  <c r="DI14" i="8"/>
  <c r="DH15" i="8"/>
  <c r="DI15" i="8"/>
  <c r="DH16" i="8"/>
  <c r="DI16" i="8"/>
  <c r="DH17" i="8"/>
  <c r="DI17" i="8"/>
  <c r="DH18" i="8"/>
  <c r="DI18" i="8"/>
  <c r="DH19" i="8"/>
  <c r="DI19" i="8"/>
  <c r="DH20" i="8"/>
  <c r="DI20" i="8"/>
  <c r="DH21" i="8"/>
  <c r="DI21" i="8"/>
  <c r="DH22" i="8"/>
  <c r="DI22" i="8"/>
  <c r="DH23" i="8"/>
  <c r="DI23" i="8"/>
  <c r="DH24" i="8"/>
  <c r="DI24" i="8"/>
  <c r="DH25" i="8"/>
  <c r="DI25" i="8"/>
  <c r="DH26" i="8"/>
  <c r="DI26" i="8"/>
  <c r="DH27" i="8"/>
  <c r="DI27" i="8"/>
  <c r="DH28" i="8"/>
  <c r="DI28" i="8"/>
  <c r="DH29" i="8"/>
  <c r="DI29" i="8"/>
  <c r="DH30" i="8"/>
  <c r="DI30" i="8"/>
  <c r="DH31" i="8"/>
  <c r="DI31" i="8"/>
  <c r="DH32" i="8"/>
  <c r="DI32" i="8"/>
  <c r="DH33" i="8"/>
  <c r="DI33" i="8"/>
  <c r="DH34" i="8"/>
  <c r="DI34" i="8"/>
  <c r="DH35" i="8"/>
  <c r="DI35" i="8"/>
  <c r="DH36" i="8"/>
  <c r="DI36" i="8"/>
  <c r="DH37" i="8"/>
  <c r="DI37" i="8"/>
  <c r="DH38" i="8"/>
  <c r="DI38" i="8"/>
  <c r="DH39" i="8"/>
  <c r="DI39" i="8"/>
  <c r="DH40" i="8"/>
  <c r="DI40" i="8"/>
  <c r="DH41" i="8"/>
  <c r="DI41" i="8"/>
  <c r="DH42" i="8"/>
  <c r="DI42" i="8"/>
  <c r="DH43" i="8"/>
  <c r="DI43" i="8"/>
  <c r="DH44" i="8"/>
  <c r="DI44" i="8"/>
  <c r="DH45" i="8"/>
  <c r="DI45" i="8"/>
  <c r="DH46" i="8"/>
  <c r="DI46" i="8"/>
  <c r="DH47" i="8"/>
  <c r="DI47" i="8"/>
  <c r="DH48" i="8"/>
  <c r="DI48" i="8"/>
  <c r="DH49" i="8"/>
  <c r="DI49" i="8"/>
  <c r="DH50" i="8"/>
  <c r="DI50" i="8"/>
  <c r="DH51" i="8"/>
  <c r="DI51" i="8"/>
  <c r="DH52" i="8"/>
  <c r="DI52" i="8"/>
  <c r="DH53" i="8"/>
  <c r="DI53" i="8"/>
  <c r="DH54" i="8"/>
  <c r="DI54" i="8"/>
  <c r="DH55" i="8"/>
  <c r="DI55" i="8"/>
  <c r="DH56" i="8"/>
  <c r="DI56" i="8"/>
  <c r="DH57" i="8"/>
  <c r="DI57" i="8"/>
  <c r="DH58" i="8"/>
  <c r="DI58" i="8"/>
  <c r="DH59" i="8"/>
  <c r="DI59" i="8"/>
  <c r="DH60" i="8"/>
  <c r="DI60" i="8"/>
  <c r="DH61" i="8"/>
  <c r="DI61" i="8"/>
  <c r="DH62" i="8"/>
  <c r="DI62" i="8"/>
  <c r="DH63" i="8"/>
  <c r="DI63" i="8"/>
  <c r="DH64" i="8"/>
  <c r="DI64" i="8"/>
  <c r="DH65" i="8"/>
  <c r="DI65" i="8"/>
  <c r="DH66" i="8"/>
  <c r="DI66" i="8"/>
  <c r="DH67" i="8"/>
  <c r="DI67" i="8"/>
  <c r="DH68" i="8"/>
  <c r="DI68" i="8"/>
  <c r="DH69" i="8"/>
  <c r="DI69" i="8"/>
  <c r="DH70" i="8"/>
  <c r="DI70" i="8"/>
  <c r="DH71" i="8"/>
  <c r="DI71" i="8"/>
  <c r="DH72" i="8"/>
  <c r="DI72" i="8"/>
  <c r="DH73" i="8"/>
  <c r="DI73" i="8"/>
  <c r="DH74" i="8"/>
  <c r="DI74" i="8"/>
  <c r="DH75" i="8"/>
  <c r="DI75" i="8"/>
  <c r="DH76" i="8"/>
  <c r="DI76" i="8"/>
  <c r="DH77" i="8"/>
  <c r="DI77" i="8"/>
  <c r="DH78" i="8"/>
  <c r="DI78" i="8"/>
  <c r="DH79" i="8"/>
  <c r="DI79" i="8"/>
  <c r="DH80" i="8"/>
  <c r="DI80" i="8"/>
  <c r="DH81" i="8"/>
  <c r="DI81" i="8"/>
  <c r="DH82" i="8"/>
  <c r="DI82" i="8"/>
  <c r="DH83" i="8"/>
  <c r="DI83" i="8"/>
  <c r="DH84" i="8"/>
  <c r="DI84" i="8"/>
  <c r="DI4" i="8"/>
  <c r="DH4" i="8"/>
  <c r="CY5" i="9"/>
  <c r="DC5" i="9"/>
  <c r="CY6" i="9"/>
  <c r="DC6" i="9"/>
  <c r="CY7" i="9"/>
  <c r="DC7" i="9"/>
  <c r="CY8" i="9"/>
  <c r="DC8" i="9"/>
  <c r="CY9" i="9"/>
  <c r="DC9" i="9"/>
  <c r="CY10" i="9"/>
  <c r="DC10" i="9"/>
  <c r="CY11" i="9"/>
  <c r="DC11" i="9"/>
  <c r="CY12" i="9"/>
  <c r="DC12" i="9"/>
  <c r="CY13" i="9"/>
  <c r="DC13" i="9"/>
  <c r="CY14" i="9"/>
  <c r="DC14" i="9"/>
  <c r="CY15" i="9"/>
  <c r="DC15" i="9"/>
  <c r="CY16" i="9"/>
  <c r="DC16" i="9"/>
  <c r="CY17" i="9"/>
  <c r="DC17" i="9"/>
  <c r="CY18" i="9"/>
  <c r="DC18" i="9"/>
  <c r="CY19" i="9"/>
  <c r="DC19" i="9"/>
  <c r="CY20" i="9"/>
  <c r="DC20" i="9"/>
  <c r="CY21" i="9"/>
  <c r="DC21" i="9"/>
  <c r="CY22" i="9"/>
  <c r="DC22" i="9"/>
  <c r="DE22" i="9"/>
  <c r="CY23" i="9"/>
  <c r="DC23" i="9"/>
  <c r="DE23" i="9"/>
  <c r="CY24" i="9"/>
  <c r="DC24" i="9"/>
  <c r="DE24" i="9"/>
  <c r="CY25" i="9"/>
  <c r="DC25" i="9"/>
  <c r="DE25" i="9"/>
  <c r="CY26" i="9"/>
  <c r="DC26" i="9"/>
  <c r="DE26" i="9"/>
  <c r="CY27" i="9"/>
  <c r="DC27" i="9"/>
  <c r="DE27" i="9"/>
  <c r="CY28" i="9"/>
  <c r="DC28" i="9"/>
  <c r="DE28" i="9"/>
  <c r="CY29" i="9"/>
  <c r="DC29" i="9"/>
  <c r="DE29" i="9"/>
  <c r="CY30" i="9"/>
  <c r="DC30" i="9"/>
  <c r="DE30" i="9"/>
  <c r="CY31" i="9"/>
  <c r="DC31" i="9"/>
  <c r="DE31" i="9"/>
  <c r="CY32" i="9"/>
  <c r="DC32" i="9"/>
  <c r="DE32" i="9"/>
  <c r="CY33" i="9"/>
  <c r="DC33" i="9"/>
  <c r="DE33" i="9"/>
  <c r="CY34" i="9"/>
  <c r="DC34" i="9"/>
  <c r="DE34" i="9"/>
  <c r="CY35" i="9"/>
  <c r="DC35" i="9"/>
  <c r="DE35" i="9"/>
  <c r="CY36" i="9"/>
  <c r="DC36" i="9"/>
  <c r="DE36" i="9"/>
  <c r="CY37" i="9"/>
  <c r="DC37" i="9"/>
  <c r="DE37" i="9"/>
  <c r="CY38" i="9"/>
  <c r="DC38" i="9"/>
  <c r="DE38" i="9"/>
  <c r="CY39" i="9"/>
  <c r="DC39" i="9"/>
  <c r="DE39" i="9"/>
  <c r="CY40" i="9"/>
  <c r="DC40" i="9"/>
  <c r="DE40" i="9"/>
  <c r="CY41" i="9"/>
  <c r="DC41" i="9"/>
  <c r="DE41" i="9"/>
  <c r="CY42" i="9"/>
  <c r="DC42" i="9"/>
  <c r="DE42" i="9"/>
  <c r="CY43" i="9"/>
  <c r="DC43" i="9"/>
  <c r="DE43" i="9"/>
  <c r="CY44" i="9"/>
  <c r="DC44" i="9"/>
  <c r="DE44" i="9"/>
  <c r="CY45" i="9"/>
  <c r="DC45" i="9"/>
  <c r="DE45" i="9"/>
  <c r="CY46" i="9"/>
  <c r="DC46" i="9"/>
  <c r="DE46" i="9"/>
  <c r="CY47" i="9"/>
  <c r="DC47" i="9"/>
  <c r="DE47" i="9"/>
  <c r="CY48" i="9"/>
  <c r="DC48" i="9"/>
  <c r="DE48" i="9"/>
  <c r="CY49" i="9"/>
  <c r="DC49" i="9"/>
  <c r="DE49" i="9"/>
  <c r="CY50" i="9"/>
  <c r="DC50" i="9"/>
  <c r="DE50" i="9"/>
  <c r="CY51" i="9"/>
  <c r="DC51" i="9"/>
  <c r="DE51" i="9"/>
  <c r="CY52" i="9"/>
  <c r="DC52" i="9"/>
  <c r="DE52" i="9"/>
  <c r="CY53" i="9"/>
  <c r="DC53" i="9"/>
  <c r="DE53" i="9"/>
  <c r="CY54" i="9"/>
  <c r="DC54" i="9"/>
  <c r="DE54" i="9"/>
  <c r="CY55" i="9"/>
  <c r="DC55" i="9"/>
  <c r="DE55" i="9"/>
  <c r="CY56" i="9"/>
  <c r="DC56" i="9"/>
  <c r="DE56" i="9"/>
  <c r="CY57" i="9"/>
  <c r="DC57" i="9"/>
  <c r="DE57" i="9"/>
  <c r="CY58" i="9"/>
  <c r="DC58" i="9"/>
  <c r="DE58" i="9"/>
  <c r="CY59" i="9"/>
  <c r="DC59" i="9"/>
  <c r="DE59" i="9"/>
  <c r="CY60" i="9"/>
  <c r="DC60" i="9"/>
  <c r="DE60" i="9"/>
  <c r="CY61" i="9"/>
  <c r="DC61" i="9"/>
  <c r="DE61" i="9"/>
  <c r="CY62" i="9"/>
  <c r="DC62" i="9"/>
  <c r="DE62" i="9"/>
  <c r="CY63" i="9"/>
  <c r="DC63" i="9"/>
  <c r="DE63" i="9"/>
  <c r="CY64" i="9"/>
  <c r="DC64" i="9"/>
  <c r="DE64" i="9"/>
  <c r="CY65" i="9"/>
  <c r="DC65" i="9"/>
  <c r="DE65" i="9"/>
  <c r="CY66" i="9"/>
  <c r="DC66" i="9"/>
  <c r="DE66" i="9"/>
  <c r="CY67" i="9"/>
  <c r="DC67" i="9"/>
  <c r="DE67" i="9"/>
  <c r="CY68" i="9"/>
  <c r="DC68" i="9"/>
  <c r="DE68" i="9"/>
  <c r="CY69" i="9"/>
  <c r="DC69" i="9"/>
  <c r="DE69" i="9"/>
  <c r="CY70" i="9"/>
  <c r="DC70" i="9"/>
  <c r="DE70" i="9"/>
  <c r="CY71" i="9"/>
  <c r="DC71" i="9"/>
  <c r="DE71" i="9"/>
  <c r="CY72" i="9"/>
  <c r="DC72" i="9"/>
  <c r="DE72" i="9"/>
  <c r="CY73" i="9"/>
  <c r="DC73" i="9"/>
  <c r="DE73" i="9"/>
  <c r="CY74" i="9"/>
  <c r="DC74" i="9"/>
  <c r="DE74" i="9"/>
  <c r="CY75" i="9"/>
  <c r="DC75" i="9"/>
  <c r="DE75" i="9"/>
  <c r="CY76" i="9"/>
  <c r="DC76" i="9"/>
  <c r="DE76" i="9"/>
  <c r="CY77" i="9"/>
  <c r="DC77" i="9"/>
  <c r="DE77" i="9"/>
  <c r="CY78" i="9"/>
  <c r="DC78" i="9"/>
  <c r="DE78" i="9"/>
  <c r="CY79" i="9"/>
  <c r="DC79" i="9"/>
  <c r="DE79" i="9"/>
  <c r="CY80" i="9"/>
  <c r="DC80" i="9"/>
  <c r="DE80" i="9"/>
  <c r="CY81" i="9"/>
  <c r="DC81" i="9"/>
  <c r="DE81" i="9"/>
  <c r="CY82" i="9"/>
  <c r="DC82" i="9"/>
  <c r="DE82" i="9"/>
  <c r="CY83" i="9"/>
  <c r="DC83" i="9"/>
  <c r="DE83" i="9"/>
  <c r="CY84" i="9"/>
  <c r="DC84" i="9"/>
  <c r="DE84" i="9"/>
  <c r="DC4" i="9"/>
  <c r="CY4" i="9"/>
  <c r="CV5" i="8"/>
  <c r="CW5" i="8"/>
  <c r="DA5" i="8"/>
  <c r="CV6" i="8"/>
  <c r="CW6" i="8"/>
  <c r="DA6" i="8"/>
  <c r="CV7" i="8"/>
  <c r="CW7" i="8"/>
  <c r="DA7" i="8"/>
  <c r="CV8" i="8"/>
  <c r="CW8" i="8"/>
  <c r="DA8" i="8"/>
  <c r="CV9" i="8"/>
  <c r="CW9" i="8"/>
  <c r="DA9" i="8"/>
  <c r="CV10" i="8"/>
  <c r="CW10" i="8"/>
  <c r="DA10" i="8"/>
  <c r="CV11" i="8"/>
  <c r="CW11" i="8"/>
  <c r="DA11" i="8"/>
  <c r="CV12" i="8"/>
  <c r="CW12" i="8"/>
  <c r="DA12" i="8"/>
  <c r="CV13" i="8"/>
  <c r="CW13" i="8"/>
  <c r="DA13" i="8"/>
  <c r="CV14" i="8"/>
  <c r="CW14" i="8"/>
  <c r="DA14" i="8"/>
  <c r="CV15" i="8"/>
  <c r="CW15" i="8"/>
  <c r="DA15" i="8"/>
  <c r="CV16" i="8"/>
  <c r="CW16" i="8"/>
  <c r="DA16" i="8"/>
  <c r="CV17" i="8"/>
  <c r="CW17" i="8"/>
  <c r="DA17" i="8"/>
  <c r="CV18" i="8"/>
  <c r="CW18" i="8"/>
  <c r="DA18" i="8"/>
  <c r="CV19" i="8"/>
  <c r="CW19" i="8"/>
  <c r="DA19" i="8"/>
  <c r="CV20" i="8"/>
  <c r="CW20" i="8"/>
  <c r="DA20" i="8"/>
  <c r="CV21" i="8"/>
  <c r="CW21" i="8"/>
  <c r="DA21" i="8"/>
  <c r="CV22" i="8"/>
  <c r="CW22" i="8"/>
  <c r="DA22" i="8"/>
  <c r="DC22" i="8"/>
  <c r="CV23" i="8"/>
  <c r="CW23" i="8"/>
  <c r="DA23" i="8"/>
  <c r="DC23" i="8"/>
  <c r="CV24" i="8"/>
  <c r="CW24" i="8"/>
  <c r="DA24" i="8"/>
  <c r="DC24" i="8"/>
  <c r="CV25" i="8"/>
  <c r="CW25" i="8"/>
  <c r="DA25" i="8"/>
  <c r="DC25" i="8"/>
  <c r="CV26" i="8"/>
  <c r="CW26" i="8"/>
  <c r="DA26" i="8"/>
  <c r="DC26" i="8"/>
  <c r="CV27" i="8"/>
  <c r="CW27" i="8"/>
  <c r="DA27" i="8"/>
  <c r="DC27" i="8"/>
  <c r="CV28" i="8"/>
  <c r="CW28" i="8"/>
  <c r="DA28" i="8"/>
  <c r="DC28" i="8"/>
  <c r="CV29" i="8"/>
  <c r="CW29" i="8"/>
  <c r="DA29" i="8"/>
  <c r="DC29" i="8"/>
  <c r="CV30" i="8"/>
  <c r="CW30" i="8"/>
  <c r="DA30" i="8"/>
  <c r="DC30" i="8"/>
  <c r="CV31" i="8"/>
  <c r="CW31" i="8"/>
  <c r="DA31" i="8"/>
  <c r="DC31" i="8"/>
  <c r="CV32" i="8"/>
  <c r="CW32" i="8"/>
  <c r="DA32" i="8"/>
  <c r="DC32" i="8"/>
  <c r="CV33" i="8"/>
  <c r="CW33" i="8"/>
  <c r="DA33" i="8"/>
  <c r="DC33" i="8"/>
  <c r="CV34" i="8"/>
  <c r="CW34" i="8"/>
  <c r="DA34" i="8"/>
  <c r="DC34" i="8"/>
  <c r="CV35" i="8"/>
  <c r="CW35" i="8"/>
  <c r="DA35" i="8"/>
  <c r="DC35" i="8"/>
  <c r="CV36" i="8"/>
  <c r="CW36" i="8"/>
  <c r="DA36" i="8"/>
  <c r="DC36" i="8"/>
  <c r="CV37" i="8"/>
  <c r="CW37" i="8"/>
  <c r="DA37" i="8"/>
  <c r="DC37" i="8"/>
  <c r="CV38" i="8"/>
  <c r="CW38" i="8"/>
  <c r="DA38" i="8"/>
  <c r="DC38" i="8"/>
  <c r="CV39" i="8"/>
  <c r="CW39" i="8"/>
  <c r="DA39" i="8"/>
  <c r="DC39" i="8"/>
  <c r="CV40" i="8"/>
  <c r="CW40" i="8"/>
  <c r="DA40" i="8"/>
  <c r="DC40" i="8"/>
  <c r="CV41" i="8"/>
  <c r="CW41" i="8"/>
  <c r="DA41" i="8"/>
  <c r="DC41" i="8"/>
  <c r="CV42" i="8"/>
  <c r="CW42" i="8"/>
  <c r="DA42" i="8"/>
  <c r="DC42" i="8"/>
  <c r="CV43" i="8"/>
  <c r="CW43" i="8"/>
  <c r="DA43" i="8"/>
  <c r="DC43" i="8"/>
  <c r="CV44" i="8"/>
  <c r="CW44" i="8"/>
  <c r="DA44" i="8"/>
  <c r="DC44" i="8"/>
  <c r="CV45" i="8"/>
  <c r="CW45" i="8"/>
  <c r="DA45" i="8"/>
  <c r="DC45" i="8"/>
  <c r="CV46" i="8"/>
  <c r="CW46" i="8"/>
  <c r="DA46" i="8"/>
  <c r="DC46" i="8"/>
  <c r="CV47" i="8"/>
  <c r="CW47" i="8"/>
  <c r="DA47" i="8"/>
  <c r="DC47" i="8"/>
  <c r="CV48" i="8"/>
  <c r="CW48" i="8"/>
  <c r="DA48" i="8"/>
  <c r="DC48" i="8"/>
  <c r="CV49" i="8"/>
  <c r="CW49" i="8"/>
  <c r="DA49" i="8"/>
  <c r="DC49" i="8"/>
  <c r="CV50" i="8"/>
  <c r="CW50" i="8"/>
  <c r="DA50" i="8"/>
  <c r="DC50" i="8"/>
  <c r="CV51" i="8"/>
  <c r="CW51" i="8"/>
  <c r="DA51" i="8"/>
  <c r="DC51" i="8"/>
  <c r="CV52" i="8"/>
  <c r="CW52" i="8"/>
  <c r="DA52" i="8"/>
  <c r="DC52" i="8"/>
  <c r="CV53" i="8"/>
  <c r="CW53" i="8"/>
  <c r="DA53" i="8"/>
  <c r="DC53" i="8"/>
  <c r="CV54" i="8"/>
  <c r="CW54" i="8"/>
  <c r="DA54" i="8"/>
  <c r="DC54" i="8"/>
  <c r="CV55" i="8"/>
  <c r="CW55" i="8"/>
  <c r="DA55" i="8"/>
  <c r="DC55" i="8"/>
  <c r="CV56" i="8"/>
  <c r="CW56" i="8"/>
  <c r="DA56" i="8"/>
  <c r="DC56" i="8"/>
  <c r="CV57" i="8"/>
  <c r="CW57" i="8"/>
  <c r="DA57" i="8"/>
  <c r="DC57" i="8"/>
  <c r="CV58" i="8"/>
  <c r="CW58" i="8"/>
  <c r="DA58" i="8"/>
  <c r="DC58" i="8"/>
  <c r="CV59" i="8"/>
  <c r="CW59" i="8"/>
  <c r="DA59" i="8"/>
  <c r="DC59" i="8"/>
  <c r="CV60" i="8"/>
  <c r="CW60" i="8"/>
  <c r="DA60" i="8"/>
  <c r="DC60" i="8"/>
  <c r="CV61" i="8"/>
  <c r="CW61" i="8"/>
  <c r="DA61" i="8"/>
  <c r="DC61" i="8"/>
  <c r="CV62" i="8"/>
  <c r="CW62" i="8"/>
  <c r="DA62" i="8"/>
  <c r="DC62" i="8"/>
  <c r="CV63" i="8"/>
  <c r="CW63" i="8"/>
  <c r="DA63" i="8"/>
  <c r="DC63" i="8"/>
  <c r="CV64" i="8"/>
  <c r="CW64" i="8"/>
  <c r="DA64" i="8"/>
  <c r="DC64" i="8"/>
  <c r="CV65" i="8"/>
  <c r="CW65" i="8"/>
  <c r="DA65" i="8"/>
  <c r="DC65" i="8"/>
  <c r="CV66" i="8"/>
  <c r="CW66" i="8"/>
  <c r="DA66" i="8"/>
  <c r="DC66" i="8"/>
  <c r="CV67" i="8"/>
  <c r="CW67" i="8"/>
  <c r="DA67" i="8"/>
  <c r="DC67" i="8"/>
  <c r="CV68" i="8"/>
  <c r="CW68" i="8"/>
  <c r="DA68" i="8"/>
  <c r="DC68" i="8"/>
  <c r="CV69" i="8"/>
  <c r="CW69" i="8"/>
  <c r="DA69" i="8"/>
  <c r="DC69" i="8"/>
  <c r="CV70" i="8"/>
  <c r="CW70" i="8"/>
  <c r="DA70" i="8"/>
  <c r="DC70" i="8"/>
  <c r="CV71" i="8"/>
  <c r="CW71" i="8"/>
  <c r="DA71" i="8"/>
  <c r="DC71" i="8"/>
  <c r="CV72" i="8"/>
  <c r="CW72" i="8"/>
  <c r="DA72" i="8"/>
  <c r="DC72" i="8"/>
  <c r="CV73" i="8"/>
  <c r="CW73" i="8"/>
  <c r="DA73" i="8"/>
  <c r="DC73" i="8"/>
  <c r="CV74" i="8"/>
  <c r="CW74" i="8"/>
  <c r="DA74" i="8"/>
  <c r="DC74" i="8"/>
  <c r="CV75" i="8"/>
  <c r="CW75" i="8"/>
  <c r="DA75" i="8"/>
  <c r="DC75" i="8"/>
  <c r="CV76" i="8"/>
  <c r="CW76" i="8"/>
  <c r="DA76" i="8"/>
  <c r="DC76" i="8"/>
  <c r="CV77" i="8"/>
  <c r="CW77" i="8"/>
  <c r="DA77" i="8"/>
  <c r="DC77" i="8"/>
  <c r="CV78" i="8"/>
  <c r="CW78" i="8"/>
  <c r="DA78" i="8"/>
  <c r="DC78" i="8"/>
  <c r="CV79" i="8"/>
  <c r="CW79" i="8"/>
  <c r="DA79" i="8"/>
  <c r="DC79" i="8"/>
  <c r="CV80" i="8"/>
  <c r="CW80" i="8"/>
  <c r="DA80" i="8"/>
  <c r="DC80" i="8"/>
  <c r="CV81" i="8"/>
  <c r="CW81" i="8"/>
  <c r="DA81" i="8"/>
  <c r="DC81" i="8"/>
  <c r="CV82" i="8"/>
  <c r="CW82" i="8"/>
  <c r="DA82" i="8"/>
  <c r="DC82" i="8"/>
  <c r="CV83" i="8"/>
  <c r="CW83" i="8"/>
  <c r="DA83" i="8"/>
  <c r="DC83" i="8"/>
  <c r="CV84" i="8"/>
  <c r="CW84" i="8"/>
  <c r="DA84" i="8"/>
  <c r="DC84" i="8"/>
  <c r="DA4" i="8"/>
  <c r="CW4" i="8"/>
  <c r="CV4" i="8"/>
  <c r="CI5" i="8"/>
  <c r="CJ5" i="8"/>
  <c r="CP5" i="8"/>
  <c r="CI6" i="8"/>
  <c r="CJ6" i="8"/>
  <c r="CP6" i="8"/>
  <c r="CI7" i="8"/>
  <c r="CJ7" i="8"/>
  <c r="CP7" i="8"/>
  <c r="CI8" i="8"/>
  <c r="CJ8" i="8"/>
  <c r="CP8" i="8"/>
  <c r="CI9" i="8"/>
  <c r="CJ9" i="8"/>
  <c r="CP9" i="8"/>
  <c r="CI10" i="8"/>
  <c r="CJ10" i="8"/>
  <c r="CP10" i="8"/>
  <c r="CI11" i="8"/>
  <c r="CJ11" i="8"/>
  <c r="CP11" i="8"/>
  <c r="CI12" i="8"/>
  <c r="CJ12" i="8"/>
  <c r="CP12" i="8"/>
  <c r="CI13" i="8"/>
  <c r="CJ13" i="8"/>
  <c r="CP13" i="8"/>
  <c r="CI14" i="8"/>
  <c r="CJ14" i="8"/>
  <c r="CP14" i="8"/>
  <c r="CI15" i="8"/>
  <c r="CJ15" i="8"/>
  <c r="CP15" i="8"/>
  <c r="CI16" i="8"/>
  <c r="CJ16" i="8"/>
  <c r="CP16" i="8"/>
  <c r="CI17" i="8"/>
  <c r="CJ17" i="8"/>
  <c r="CP17" i="8"/>
  <c r="CI18" i="8"/>
  <c r="CJ18" i="8"/>
  <c r="CP18" i="8"/>
  <c r="CI19" i="8"/>
  <c r="CJ19" i="8"/>
  <c r="CP19" i="8"/>
  <c r="CI20" i="8"/>
  <c r="CJ20" i="8"/>
  <c r="CP20" i="8"/>
  <c r="CI21" i="8"/>
  <c r="CJ21" i="8"/>
  <c r="CP21" i="8"/>
  <c r="CI22" i="8"/>
  <c r="CJ22" i="8"/>
  <c r="CP22" i="8"/>
  <c r="CI23" i="8"/>
  <c r="CJ23" i="8"/>
  <c r="CP23" i="8"/>
  <c r="CI24" i="8"/>
  <c r="CJ24" i="8"/>
  <c r="CP24" i="8"/>
  <c r="CI25" i="8"/>
  <c r="CJ25" i="8"/>
  <c r="CP25" i="8"/>
  <c r="CI26" i="8"/>
  <c r="CJ26" i="8"/>
  <c r="CP26" i="8"/>
  <c r="CI27" i="8"/>
  <c r="CJ27" i="8"/>
  <c r="CP27" i="8"/>
  <c r="CI28" i="8"/>
  <c r="CJ28" i="8"/>
  <c r="CP28" i="8"/>
  <c r="CI29" i="8"/>
  <c r="CJ29" i="8"/>
  <c r="CP29" i="8"/>
  <c r="CI30" i="8"/>
  <c r="CJ30" i="8"/>
  <c r="CP30" i="8"/>
  <c r="CI31" i="8"/>
  <c r="CJ31" i="8"/>
  <c r="CP31" i="8"/>
  <c r="CI32" i="8"/>
  <c r="CJ32" i="8"/>
  <c r="CP32" i="8"/>
  <c r="CI33" i="8"/>
  <c r="CJ33" i="8"/>
  <c r="CP33" i="8"/>
  <c r="CI34" i="8"/>
  <c r="CJ34" i="8"/>
  <c r="CP34" i="8"/>
  <c r="CI35" i="8"/>
  <c r="CJ35" i="8"/>
  <c r="CP35" i="8"/>
  <c r="CI36" i="8"/>
  <c r="CJ36" i="8"/>
  <c r="CP36" i="8"/>
  <c r="CI37" i="8"/>
  <c r="CJ37" i="8"/>
  <c r="CP37" i="8"/>
  <c r="CI38" i="8"/>
  <c r="CJ38" i="8"/>
  <c r="CP38" i="8"/>
  <c r="CI39" i="8"/>
  <c r="CJ39" i="8"/>
  <c r="CP39" i="8"/>
  <c r="CI40" i="8"/>
  <c r="CJ40" i="8"/>
  <c r="CP40" i="8"/>
  <c r="CI41" i="8"/>
  <c r="CJ41" i="8"/>
  <c r="CP41" i="8"/>
  <c r="CI42" i="8"/>
  <c r="CJ42" i="8"/>
  <c r="CP42" i="8"/>
  <c r="CI43" i="8"/>
  <c r="CJ43" i="8"/>
  <c r="CP43" i="8"/>
  <c r="CI44" i="8"/>
  <c r="CJ44" i="8"/>
  <c r="CP44" i="8"/>
  <c r="CI45" i="8"/>
  <c r="CJ45" i="8"/>
  <c r="CP45" i="8"/>
  <c r="CI46" i="8"/>
  <c r="CJ46" i="8"/>
  <c r="CP46" i="8"/>
  <c r="CI47" i="8"/>
  <c r="CJ47" i="8"/>
  <c r="CP47" i="8"/>
  <c r="CI48" i="8"/>
  <c r="CJ48" i="8"/>
  <c r="CP48" i="8"/>
  <c r="CI49" i="8"/>
  <c r="CJ49" i="8"/>
  <c r="CP49" i="8"/>
  <c r="CI50" i="8"/>
  <c r="CJ50" i="8"/>
  <c r="CP50" i="8"/>
  <c r="CI51" i="8"/>
  <c r="CJ51" i="8"/>
  <c r="CP51" i="8"/>
  <c r="CI52" i="8"/>
  <c r="CJ52" i="8"/>
  <c r="CP52" i="8"/>
  <c r="CI53" i="8"/>
  <c r="CJ53" i="8"/>
  <c r="CP53" i="8"/>
  <c r="CI54" i="8"/>
  <c r="CJ54" i="8"/>
  <c r="CP54" i="8"/>
  <c r="CI55" i="8"/>
  <c r="CJ55" i="8"/>
  <c r="CP55" i="8"/>
  <c r="CI56" i="8"/>
  <c r="CJ56" i="8"/>
  <c r="CP56" i="8"/>
  <c r="CI57" i="8"/>
  <c r="CJ57" i="8"/>
  <c r="CP57" i="8"/>
  <c r="CI58" i="8"/>
  <c r="CJ58" i="8"/>
  <c r="CP58" i="8"/>
  <c r="CI59" i="8"/>
  <c r="CJ59" i="8"/>
  <c r="CP59" i="8"/>
  <c r="CI60" i="8"/>
  <c r="CJ60" i="8"/>
  <c r="CP60" i="8"/>
  <c r="CI61" i="8"/>
  <c r="CJ61" i="8"/>
  <c r="CP61" i="8"/>
  <c r="CI62" i="8"/>
  <c r="CJ62" i="8"/>
  <c r="CP62" i="8"/>
  <c r="CI63" i="8"/>
  <c r="CJ63" i="8"/>
  <c r="CP63" i="8"/>
  <c r="CI64" i="8"/>
  <c r="CJ64" i="8"/>
  <c r="CP64" i="8"/>
  <c r="CI65" i="8"/>
  <c r="CJ65" i="8"/>
  <c r="CP65" i="8"/>
  <c r="CI66" i="8"/>
  <c r="CJ66" i="8"/>
  <c r="CP66" i="8"/>
  <c r="CI67" i="8"/>
  <c r="CJ67" i="8"/>
  <c r="CP67" i="8"/>
  <c r="CI68" i="8"/>
  <c r="CJ68" i="8"/>
  <c r="CP68" i="8"/>
  <c r="CI69" i="8"/>
  <c r="CJ69" i="8"/>
  <c r="CP69" i="8"/>
  <c r="CI70" i="8"/>
  <c r="CJ70" i="8"/>
  <c r="CP70" i="8"/>
  <c r="CI71" i="8"/>
  <c r="CJ71" i="8"/>
  <c r="CP71" i="8"/>
  <c r="CI72" i="8"/>
  <c r="CJ72" i="8"/>
  <c r="CP72" i="8"/>
  <c r="CI73" i="8"/>
  <c r="CJ73" i="8"/>
  <c r="CP73" i="8"/>
  <c r="CI74" i="8"/>
  <c r="CJ74" i="8"/>
  <c r="CP74" i="8"/>
  <c r="CI75" i="8"/>
  <c r="CJ75" i="8"/>
  <c r="CP75" i="8"/>
  <c r="CI76" i="8"/>
  <c r="CJ76" i="8"/>
  <c r="CP76" i="8"/>
  <c r="CI77" i="8"/>
  <c r="CJ77" i="8"/>
  <c r="CP77" i="8"/>
  <c r="CI78" i="8"/>
  <c r="CJ78" i="8"/>
  <c r="CP78" i="8"/>
  <c r="CI79" i="8"/>
  <c r="CJ79" i="8"/>
  <c r="CP79" i="8"/>
  <c r="CI80" i="8"/>
  <c r="CJ80" i="8"/>
  <c r="CP80" i="8"/>
  <c r="CI81" i="8"/>
  <c r="CJ81" i="8"/>
  <c r="CP81" i="8"/>
  <c r="CI82" i="8"/>
  <c r="CJ82" i="8"/>
  <c r="CP82" i="8"/>
  <c r="CI83" i="8"/>
  <c r="CJ83" i="8"/>
  <c r="CP83" i="8"/>
  <c r="CI84" i="8"/>
  <c r="CJ84" i="8"/>
  <c r="CP84" i="8"/>
  <c r="CP4" i="8"/>
  <c r="CJ4" i="8"/>
  <c r="CI4" i="8"/>
  <c r="CL5" i="9"/>
  <c r="CS5" i="9"/>
  <c r="CL6" i="9"/>
  <c r="CS6" i="9"/>
  <c r="CL7" i="9"/>
  <c r="CS7" i="9"/>
  <c r="CL8" i="9"/>
  <c r="CS8" i="9"/>
  <c r="CL9" i="9"/>
  <c r="CS9" i="9"/>
  <c r="CL10" i="9"/>
  <c r="CS10" i="9"/>
  <c r="CL11" i="9"/>
  <c r="CS11" i="9"/>
  <c r="CL12" i="9"/>
  <c r="CS12" i="9"/>
  <c r="CL13" i="9"/>
  <c r="CS13" i="9"/>
  <c r="CL14" i="9"/>
  <c r="CS14" i="9"/>
  <c r="CL15" i="9"/>
  <c r="CS15" i="9"/>
  <c r="CL16" i="9"/>
  <c r="CS16" i="9"/>
  <c r="CL17" i="9"/>
  <c r="CS17" i="9"/>
  <c r="CL18" i="9"/>
  <c r="CS18" i="9"/>
  <c r="CL19" i="9"/>
  <c r="CS19" i="9"/>
  <c r="CL20" i="9"/>
  <c r="CS20" i="9"/>
  <c r="CL21" i="9"/>
  <c r="CS21" i="9"/>
  <c r="CL22" i="9"/>
  <c r="CS22" i="9"/>
  <c r="CL23" i="9"/>
  <c r="CS23" i="9"/>
  <c r="CL24" i="9"/>
  <c r="CS24" i="9"/>
  <c r="CL25" i="9"/>
  <c r="CS25" i="9"/>
  <c r="CL26" i="9"/>
  <c r="CS26" i="9"/>
  <c r="CL27" i="9"/>
  <c r="CS27" i="9"/>
  <c r="CL28" i="9"/>
  <c r="CS28" i="9"/>
  <c r="CL29" i="9"/>
  <c r="CS29" i="9"/>
  <c r="CL30" i="9"/>
  <c r="CS30" i="9"/>
  <c r="CL31" i="9"/>
  <c r="CS31" i="9"/>
  <c r="CL32" i="9"/>
  <c r="CS32" i="9"/>
  <c r="CL33" i="9"/>
  <c r="CS33" i="9"/>
  <c r="CL34" i="9"/>
  <c r="CS34" i="9"/>
  <c r="CL35" i="9"/>
  <c r="CS35" i="9"/>
  <c r="CL36" i="9"/>
  <c r="CS36" i="9"/>
  <c r="CL37" i="9"/>
  <c r="CS37" i="9"/>
  <c r="CL38" i="9"/>
  <c r="CS38" i="9"/>
  <c r="CL39" i="9"/>
  <c r="CS39" i="9"/>
  <c r="CL40" i="9"/>
  <c r="CS40" i="9"/>
  <c r="CL41" i="9"/>
  <c r="CS41" i="9"/>
  <c r="CL42" i="9"/>
  <c r="CS42" i="9"/>
  <c r="CL43" i="9"/>
  <c r="CS43" i="9"/>
  <c r="CL44" i="9"/>
  <c r="CS44" i="9"/>
  <c r="CL45" i="9"/>
  <c r="CS45" i="9"/>
  <c r="CL46" i="9"/>
  <c r="CS46" i="9"/>
  <c r="CL47" i="9"/>
  <c r="CS47" i="9"/>
  <c r="CL48" i="9"/>
  <c r="CS48" i="9"/>
  <c r="CL49" i="9"/>
  <c r="CS49" i="9"/>
  <c r="CL50" i="9"/>
  <c r="CS50" i="9"/>
  <c r="CL51" i="9"/>
  <c r="CS51" i="9"/>
  <c r="CL52" i="9"/>
  <c r="CS52" i="9"/>
  <c r="CL53" i="9"/>
  <c r="CS53" i="9"/>
  <c r="CL54" i="9"/>
  <c r="CS54" i="9"/>
  <c r="CL55" i="9"/>
  <c r="CS55" i="9"/>
  <c r="CL56" i="9"/>
  <c r="CS56" i="9"/>
  <c r="CL57" i="9"/>
  <c r="CS57" i="9"/>
  <c r="CL58" i="9"/>
  <c r="CS58" i="9"/>
  <c r="CL59" i="9"/>
  <c r="CS59" i="9"/>
  <c r="CL60" i="9"/>
  <c r="CS60" i="9"/>
  <c r="CL61" i="9"/>
  <c r="CS61" i="9"/>
  <c r="CL62" i="9"/>
  <c r="CS62" i="9"/>
  <c r="CL63" i="9"/>
  <c r="CS63" i="9"/>
  <c r="CL64" i="9"/>
  <c r="CS64" i="9"/>
  <c r="CL65" i="9"/>
  <c r="CS65" i="9"/>
  <c r="CL66" i="9"/>
  <c r="CS66" i="9"/>
  <c r="CL67" i="9"/>
  <c r="CS67" i="9"/>
  <c r="CL68" i="9"/>
  <c r="CS68" i="9"/>
  <c r="CL69" i="9"/>
  <c r="CS69" i="9"/>
  <c r="CL70" i="9"/>
  <c r="CS70" i="9"/>
  <c r="CL71" i="9"/>
  <c r="CS71" i="9"/>
  <c r="CL72" i="9"/>
  <c r="CS72" i="9"/>
  <c r="CL73" i="9"/>
  <c r="CS73" i="9"/>
  <c r="CL74" i="9"/>
  <c r="CS74" i="9"/>
  <c r="CL75" i="9"/>
  <c r="CS75" i="9"/>
  <c r="CL76" i="9"/>
  <c r="CS76" i="9"/>
  <c r="CL77" i="9"/>
  <c r="CS77" i="9"/>
  <c r="CL78" i="9"/>
  <c r="CS78" i="9"/>
  <c r="CL79" i="9"/>
  <c r="CS79" i="9"/>
  <c r="CL80" i="9"/>
  <c r="CS80" i="9"/>
  <c r="CL81" i="9"/>
  <c r="CS81" i="9"/>
  <c r="CL82" i="9"/>
  <c r="CS82" i="9"/>
  <c r="CL83" i="9"/>
  <c r="CS83" i="9"/>
  <c r="CL84" i="9"/>
  <c r="CS84" i="9"/>
  <c r="CS4" i="9"/>
  <c r="CL4" i="9"/>
  <c r="CA5" i="9"/>
  <c r="CD5" i="9"/>
  <c r="CA6" i="9"/>
  <c r="CD6" i="9"/>
  <c r="CA7" i="9"/>
  <c r="CD7" i="9"/>
  <c r="CA8" i="9"/>
  <c r="CD8" i="9"/>
  <c r="CA9" i="9"/>
  <c r="CD9" i="9"/>
  <c r="CA10" i="9"/>
  <c r="CD10" i="9"/>
  <c r="CA11" i="9"/>
  <c r="CD11" i="9"/>
  <c r="CA12" i="9"/>
  <c r="CD12" i="9"/>
  <c r="CA13" i="9"/>
  <c r="CD13" i="9"/>
  <c r="CA14" i="9"/>
  <c r="CD14" i="9"/>
  <c r="CA15" i="9"/>
  <c r="CD15" i="9"/>
  <c r="CA16" i="9"/>
  <c r="CD16" i="9"/>
  <c r="CA17" i="9"/>
  <c r="CD17" i="9"/>
  <c r="CA18" i="9"/>
  <c r="CD18" i="9"/>
  <c r="CA19" i="9"/>
  <c r="CD19" i="9"/>
  <c r="CA20" i="9"/>
  <c r="CD20" i="9"/>
  <c r="CA21" i="9"/>
  <c r="CD21" i="9"/>
  <c r="CA22" i="9"/>
  <c r="CD22" i="9"/>
  <c r="CA23" i="9"/>
  <c r="CD23" i="9"/>
  <c r="CA24" i="9"/>
  <c r="CD24" i="9"/>
  <c r="CA25" i="9"/>
  <c r="CD25" i="9"/>
  <c r="CA26" i="9"/>
  <c r="CD26" i="9"/>
  <c r="CA27" i="9"/>
  <c r="CD27" i="9"/>
  <c r="CA28" i="9"/>
  <c r="CD28" i="9"/>
  <c r="CA29" i="9"/>
  <c r="CD29" i="9"/>
  <c r="CA30" i="9"/>
  <c r="CD30" i="9"/>
  <c r="CA31" i="9"/>
  <c r="CD31" i="9"/>
  <c r="CA32" i="9"/>
  <c r="CD32" i="9"/>
  <c r="CA33" i="9"/>
  <c r="CD33" i="9"/>
  <c r="CA34" i="9"/>
  <c r="CD34" i="9"/>
  <c r="CA35" i="9"/>
  <c r="CD35" i="9"/>
  <c r="CA36" i="9"/>
  <c r="CD36" i="9"/>
  <c r="CA37" i="9"/>
  <c r="CD37" i="9"/>
  <c r="CA38" i="9"/>
  <c r="CD38" i="9"/>
  <c r="CA39" i="9"/>
  <c r="CD39" i="9"/>
  <c r="CA40" i="9"/>
  <c r="CD40" i="9"/>
  <c r="CA41" i="9"/>
  <c r="CD41" i="9"/>
  <c r="CA42" i="9"/>
  <c r="CD42" i="9"/>
  <c r="CA43" i="9"/>
  <c r="CD43" i="9"/>
  <c r="CA44" i="9"/>
  <c r="CD44" i="9"/>
  <c r="CA45" i="9"/>
  <c r="CD45" i="9"/>
  <c r="CA46" i="9"/>
  <c r="CD46" i="9"/>
  <c r="CA47" i="9"/>
  <c r="CD47" i="9"/>
  <c r="CA48" i="9"/>
  <c r="CD48" i="9"/>
  <c r="CA49" i="9"/>
  <c r="CD49" i="9"/>
  <c r="CA50" i="9"/>
  <c r="CD50" i="9"/>
  <c r="CA51" i="9"/>
  <c r="CD51" i="9"/>
  <c r="CA52" i="9"/>
  <c r="CD52" i="9"/>
  <c r="CA53" i="9"/>
  <c r="CD53" i="9"/>
  <c r="CA54" i="9"/>
  <c r="CD54" i="9"/>
  <c r="CA55" i="9"/>
  <c r="CD55" i="9"/>
  <c r="CA56" i="9"/>
  <c r="CD56" i="9"/>
  <c r="CA57" i="9"/>
  <c r="CD57" i="9"/>
  <c r="CA58" i="9"/>
  <c r="CD58" i="9"/>
  <c r="CA59" i="9"/>
  <c r="CD59" i="9"/>
  <c r="CA60" i="9"/>
  <c r="CD60" i="9"/>
  <c r="CA61" i="9"/>
  <c r="CD61" i="9"/>
  <c r="CA62" i="9"/>
  <c r="CD62" i="9"/>
  <c r="CA63" i="9"/>
  <c r="CD63" i="9"/>
  <c r="CA64" i="9"/>
  <c r="CD64" i="9"/>
  <c r="CA65" i="9"/>
  <c r="CD65" i="9"/>
  <c r="CA66" i="9"/>
  <c r="CD66" i="9"/>
  <c r="CA67" i="9"/>
  <c r="CD67" i="9"/>
  <c r="CA68" i="9"/>
  <c r="CD68" i="9"/>
  <c r="CA69" i="9"/>
  <c r="CD69" i="9"/>
  <c r="CA70" i="9"/>
  <c r="CD70" i="9"/>
  <c r="CA71" i="9"/>
  <c r="CD71" i="9"/>
  <c r="CA72" i="9"/>
  <c r="CD72" i="9"/>
  <c r="CA73" i="9"/>
  <c r="CD73" i="9"/>
  <c r="CA74" i="9"/>
  <c r="CD74" i="9"/>
  <c r="CA75" i="9"/>
  <c r="CD75" i="9"/>
  <c r="CA76" i="9"/>
  <c r="CD76" i="9"/>
  <c r="CA77" i="9"/>
  <c r="CD77" i="9"/>
  <c r="CA78" i="9"/>
  <c r="CD78" i="9"/>
  <c r="CA79" i="9"/>
  <c r="CD79" i="9"/>
  <c r="CA80" i="9"/>
  <c r="CD80" i="9"/>
  <c r="CA81" i="9"/>
  <c r="CD81" i="9"/>
  <c r="CA82" i="9"/>
  <c r="CD82" i="9"/>
  <c r="CA83" i="9"/>
  <c r="CD83" i="9"/>
  <c r="CA84" i="9"/>
  <c r="CD84" i="9"/>
  <c r="CD4" i="9"/>
  <c r="CA4" i="9"/>
  <c r="BV5" i="8"/>
  <c r="BY5" i="8"/>
  <c r="CB5" i="8"/>
  <c r="BV6" i="8"/>
  <c r="BY6" i="8"/>
  <c r="CB6" i="8"/>
  <c r="BV7" i="8"/>
  <c r="BY7" i="8"/>
  <c r="CB7" i="8"/>
  <c r="BV8" i="8"/>
  <c r="BY8" i="8"/>
  <c r="CB8" i="8"/>
  <c r="BV9" i="8"/>
  <c r="BY9" i="8"/>
  <c r="CB9" i="8"/>
  <c r="BV10" i="8"/>
  <c r="BY10" i="8"/>
  <c r="CB10" i="8"/>
  <c r="BV11" i="8"/>
  <c r="BY11" i="8"/>
  <c r="CB11" i="8"/>
  <c r="BV12" i="8"/>
  <c r="BY12" i="8"/>
  <c r="CB12" i="8"/>
  <c r="BV13" i="8"/>
  <c r="BY13" i="8"/>
  <c r="CB13" i="8"/>
  <c r="BV14" i="8"/>
  <c r="BY14" i="8"/>
  <c r="CB14" i="8"/>
  <c r="BV15" i="8"/>
  <c r="BY15" i="8"/>
  <c r="CB15" i="8"/>
  <c r="BV16" i="8"/>
  <c r="BY16" i="8"/>
  <c r="CB16" i="8"/>
  <c r="BV17" i="8"/>
  <c r="BY17" i="8"/>
  <c r="CB17" i="8"/>
  <c r="BV18" i="8"/>
  <c r="BY18" i="8"/>
  <c r="CB18" i="8"/>
  <c r="BV19" i="8"/>
  <c r="BY19" i="8"/>
  <c r="CB19" i="8"/>
  <c r="BV20" i="8"/>
  <c r="BY20" i="8"/>
  <c r="CB20" i="8"/>
  <c r="BV21" i="8"/>
  <c r="BY21" i="8"/>
  <c r="CB21" i="8"/>
  <c r="BV22" i="8"/>
  <c r="BY22" i="8"/>
  <c r="CB22" i="8"/>
  <c r="BV23" i="8"/>
  <c r="BY23" i="8"/>
  <c r="CB23" i="8"/>
  <c r="BV24" i="8"/>
  <c r="BY24" i="8"/>
  <c r="CB24" i="8"/>
  <c r="BV25" i="8"/>
  <c r="BY25" i="8"/>
  <c r="CB25" i="8"/>
  <c r="BV26" i="8"/>
  <c r="BY26" i="8"/>
  <c r="CB26" i="8"/>
  <c r="BV27" i="8"/>
  <c r="BY27" i="8"/>
  <c r="CB27" i="8"/>
  <c r="BV28" i="8"/>
  <c r="BY28" i="8"/>
  <c r="CB28" i="8"/>
  <c r="BV29" i="8"/>
  <c r="BY29" i="8"/>
  <c r="CB29" i="8"/>
  <c r="BV30" i="8"/>
  <c r="BY30" i="8"/>
  <c r="CB30" i="8"/>
  <c r="BV31" i="8"/>
  <c r="BY31" i="8"/>
  <c r="CB31" i="8"/>
  <c r="BV32" i="8"/>
  <c r="BY32" i="8"/>
  <c r="CB32" i="8"/>
  <c r="BV33" i="8"/>
  <c r="BY33" i="8"/>
  <c r="CB33" i="8"/>
  <c r="BV34" i="8"/>
  <c r="BY34" i="8"/>
  <c r="CB34" i="8"/>
  <c r="BV35" i="8"/>
  <c r="BY35" i="8"/>
  <c r="CB35" i="8"/>
  <c r="BV36" i="8"/>
  <c r="BY36" i="8"/>
  <c r="CB36" i="8"/>
  <c r="BV37" i="8"/>
  <c r="BY37" i="8"/>
  <c r="CB37" i="8"/>
  <c r="BV38" i="8"/>
  <c r="BY38" i="8"/>
  <c r="CB38" i="8"/>
  <c r="BV39" i="8"/>
  <c r="BY39" i="8"/>
  <c r="CB39" i="8"/>
  <c r="BV40" i="8"/>
  <c r="BY40" i="8"/>
  <c r="CB40" i="8"/>
  <c r="BV41" i="8"/>
  <c r="BY41" i="8"/>
  <c r="CB41" i="8"/>
  <c r="BV42" i="8"/>
  <c r="BY42" i="8"/>
  <c r="CB42" i="8"/>
  <c r="BV43" i="8"/>
  <c r="BY43" i="8"/>
  <c r="CB43" i="8"/>
  <c r="BV44" i="8"/>
  <c r="BY44" i="8"/>
  <c r="CB44" i="8"/>
  <c r="BV45" i="8"/>
  <c r="BY45" i="8"/>
  <c r="CB45" i="8"/>
  <c r="BV46" i="8"/>
  <c r="BY46" i="8"/>
  <c r="CB46" i="8"/>
  <c r="BV47" i="8"/>
  <c r="BY47" i="8"/>
  <c r="CB47" i="8"/>
  <c r="BV48" i="8"/>
  <c r="BY48" i="8"/>
  <c r="CB48" i="8"/>
  <c r="BV49" i="8"/>
  <c r="BY49" i="8"/>
  <c r="CB49" i="8"/>
  <c r="BV50" i="8"/>
  <c r="BY50" i="8"/>
  <c r="CB50" i="8"/>
  <c r="BV51" i="8"/>
  <c r="BY51" i="8"/>
  <c r="CB51" i="8"/>
  <c r="BV52" i="8"/>
  <c r="BY52" i="8"/>
  <c r="CB52" i="8"/>
  <c r="BV53" i="8"/>
  <c r="BY53" i="8"/>
  <c r="CB53" i="8"/>
  <c r="BV54" i="8"/>
  <c r="BY54" i="8"/>
  <c r="CB54" i="8"/>
  <c r="BV55" i="8"/>
  <c r="BY55" i="8"/>
  <c r="CB55" i="8"/>
  <c r="BV56" i="8"/>
  <c r="BY56" i="8"/>
  <c r="CB56" i="8"/>
  <c r="BV57" i="8"/>
  <c r="BY57" i="8"/>
  <c r="CB57" i="8"/>
  <c r="BV58" i="8"/>
  <c r="BY58" i="8"/>
  <c r="CB58" i="8"/>
  <c r="BV59" i="8"/>
  <c r="BY59" i="8"/>
  <c r="CB59" i="8"/>
  <c r="BV60" i="8"/>
  <c r="BY60" i="8"/>
  <c r="CB60" i="8"/>
  <c r="BV61" i="8"/>
  <c r="BY61" i="8"/>
  <c r="CB61" i="8"/>
  <c r="BV62" i="8"/>
  <c r="BY62" i="8"/>
  <c r="CB62" i="8"/>
  <c r="BV63" i="8"/>
  <c r="BY63" i="8"/>
  <c r="CB63" i="8"/>
  <c r="BV64" i="8"/>
  <c r="BY64" i="8"/>
  <c r="CB64" i="8"/>
  <c r="BV65" i="8"/>
  <c r="BY65" i="8"/>
  <c r="CB65" i="8"/>
  <c r="BV66" i="8"/>
  <c r="BY66" i="8"/>
  <c r="CB66" i="8"/>
  <c r="BV67" i="8"/>
  <c r="BY67" i="8"/>
  <c r="CB67" i="8"/>
  <c r="BV68" i="8"/>
  <c r="BY68" i="8"/>
  <c r="CB68" i="8"/>
  <c r="BV69" i="8"/>
  <c r="BY69" i="8"/>
  <c r="CB69" i="8"/>
  <c r="BV70" i="8"/>
  <c r="BY70" i="8"/>
  <c r="CB70" i="8"/>
  <c r="BV71" i="8"/>
  <c r="BY71" i="8"/>
  <c r="CB71" i="8"/>
  <c r="BV72" i="8"/>
  <c r="BY72" i="8"/>
  <c r="CB72" i="8"/>
  <c r="BV73" i="8"/>
  <c r="BY73" i="8"/>
  <c r="CB73" i="8"/>
  <c r="BV74" i="8"/>
  <c r="BY74" i="8"/>
  <c r="CB74" i="8"/>
  <c r="BV75" i="8"/>
  <c r="BY75" i="8"/>
  <c r="CB75" i="8"/>
  <c r="BV76" i="8"/>
  <c r="BY76" i="8"/>
  <c r="CB76" i="8"/>
  <c r="BV77" i="8"/>
  <c r="BY77" i="8"/>
  <c r="CB77" i="8"/>
  <c r="BV78" i="8"/>
  <c r="BY78" i="8"/>
  <c r="CB78" i="8"/>
  <c r="BV79" i="8"/>
  <c r="BY79" i="8"/>
  <c r="CB79" i="8"/>
  <c r="BV80" i="8"/>
  <c r="BY80" i="8"/>
  <c r="CB80" i="8"/>
  <c r="BV81" i="8"/>
  <c r="BY81" i="8"/>
  <c r="CB81" i="8"/>
  <c r="BV82" i="8"/>
  <c r="BY82" i="8"/>
  <c r="CB82" i="8"/>
  <c r="BV83" i="8"/>
  <c r="BY83" i="8"/>
  <c r="CB83" i="8"/>
  <c r="BV84" i="8"/>
  <c r="BY84" i="8"/>
  <c r="CB84" i="8"/>
  <c r="CB4" i="8"/>
  <c r="BY4" i="8"/>
  <c r="BV4" i="8"/>
  <c r="BM5" i="9"/>
  <c r="BQ5" i="9"/>
  <c r="BS5" i="9"/>
  <c r="BM6" i="9"/>
  <c r="BQ6" i="9"/>
  <c r="BS6" i="9"/>
  <c r="BM7" i="9"/>
  <c r="BQ7" i="9"/>
  <c r="BS7" i="9"/>
  <c r="BM8" i="9"/>
  <c r="BQ8" i="9"/>
  <c r="BS8" i="9"/>
  <c r="BM9" i="9"/>
  <c r="BQ9" i="9"/>
  <c r="BS9" i="9"/>
  <c r="BM10" i="9"/>
  <c r="BQ10" i="9"/>
  <c r="BS10" i="9"/>
  <c r="BM11" i="9"/>
  <c r="BQ11" i="9"/>
  <c r="BS11" i="9"/>
  <c r="BM12" i="9"/>
  <c r="BQ12" i="9"/>
  <c r="BS12" i="9"/>
  <c r="BM13" i="9"/>
  <c r="BQ13" i="9"/>
  <c r="BS13" i="9"/>
  <c r="BM14" i="9"/>
  <c r="BQ14" i="9"/>
  <c r="BS14" i="9"/>
  <c r="BM15" i="9"/>
  <c r="BQ15" i="9"/>
  <c r="BS15" i="9"/>
  <c r="BM16" i="9"/>
  <c r="BQ16" i="9"/>
  <c r="BS16" i="9"/>
  <c r="BM17" i="9"/>
  <c r="BQ17" i="9"/>
  <c r="BS17" i="9"/>
  <c r="BM18" i="9"/>
  <c r="BQ18" i="9"/>
  <c r="BS18" i="9"/>
  <c r="BM19" i="9"/>
  <c r="BQ19" i="9"/>
  <c r="BS19" i="9"/>
  <c r="BM20" i="9"/>
  <c r="BQ20" i="9"/>
  <c r="BS20" i="9"/>
  <c r="BM21" i="9"/>
  <c r="BQ21" i="9"/>
  <c r="BS21" i="9"/>
  <c r="BM22" i="9"/>
  <c r="BQ22" i="9"/>
  <c r="BS22" i="9"/>
  <c r="BM23" i="9"/>
  <c r="BQ23" i="9"/>
  <c r="BS23" i="9"/>
  <c r="BM24" i="9"/>
  <c r="BQ24" i="9"/>
  <c r="BS24" i="9"/>
  <c r="BM25" i="9"/>
  <c r="BQ25" i="9"/>
  <c r="BS25" i="9"/>
  <c r="BM26" i="9"/>
  <c r="BQ26" i="9"/>
  <c r="BS26" i="9"/>
  <c r="BM27" i="9"/>
  <c r="BQ27" i="9"/>
  <c r="BS27" i="9"/>
  <c r="BM28" i="9"/>
  <c r="BQ28" i="9"/>
  <c r="BS28" i="9"/>
  <c r="BM29" i="9"/>
  <c r="BQ29" i="9"/>
  <c r="BS29" i="9"/>
  <c r="BM30" i="9"/>
  <c r="BQ30" i="9"/>
  <c r="BS30" i="9"/>
  <c r="BM31" i="9"/>
  <c r="BQ31" i="9"/>
  <c r="BS31" i="9"/>
  <c r="BM32" i="9"/>
  <c r="BQ32" i="9"/>
  <c r="BS32" i="9"/>
  <c r="BM33" i="9"/>
  <c r="BQ33" i="9"/>
  <c r="BS33" i="9"/>
  <c r="BM34" i="9"/>
  <c r="BQ34" i="9"/>
  <c r="BS34" i="9"/>
  <c r="BM35" i="9"/>
  <c r="BQ35" i="9"/>
  <c r="BS35" i="9"/>
  <c r="BM36" i="9"/>
  <c r="BQ36" i="9"/>
  <c r="BS36" i="9"/>
  <c r="BM37" i="9"/>
  <c r="BQ37" i="9"/>
  <c r="BS37" i="9"/>
  <c r="BM38" i="9"/>
  <c r="BQ38" i="9"/>
  <c r="BS38" i="9"/>
  <c r="BM39" i="9"/>
  <c r="BQ39" i="9"/>
  <c r="BS39" i="9"/>
  <c r="BM40" i="9"/>
  <c r="BQ40" i="9"/>
  <c r="BS40" i="9"/>
  <c r="BM41" i="9"/>
  <c r="BQ41" i="9"/>
  <c r="BS41" i="9"/>
  <c r="BM42" i="9"/>
  <c r="BQ42" i="9"/>
  <c r="BS42" i="9"/>
  <c r="BM43" i="9"/>
  <c r="BQ43" i="9"/>
  <c r="BS43" i="9"/>
  <c r="BM44" i="9"/>
  <c r="BQ44" i="9"/>
  <c r="BS44" i="9"/>
  <c r="BM45" i="9"/>
  <c r="BQ45" i="9"/>
  <c r="BS45" i="9"/>
  <c r="BM46" i="9"/>
  <c r="BQ46" i="9"/>
  <c r="BS46" i="9"/>
  <c r="BM47" i="9"/>
  <c r="BQ47" i="9"/>
  <c r="BS47" i="9"/>
  <c r="BM48" i="9"/>
  <c r="BQ48" i="9"/>
  <c r="BS48" i="9"/>
  <c r="BM49" i="9"/>
  <c r="BQ49" i="9"/>
  <c r="BS49" i="9"/>
  <c r="BM50" i="9"/>
  <c r="BQ50" i="9"/>
  <c r="BS50" i="9"/>
  <c r="BM51" i="9"/>
  <c r="BQ51" i="9"/>
  <c r="BS51" i="9"/>
  <c r="BM52" i="9"/>
  <c r="BQ52" i="9"/>
  <c r="BS52" i="9"/>
  <c r="BM53" i="9"/>
  <c r="BQ53" i="9"/>
  <c r="BS53" i="9"/>
  <c r="BM54" i="9"/>
  <c r="BQ54" i="9"/>
  <c r="BS54" i="9"/>
  <c r="BM55" i="9"/>
  <c r="BQ55" i="9"/>
  <c r="BS55" i="9"/>
  <c r="BM56" i="9"/>
  <c r="BQ56" i="9"/>
  <c r="BS56" i="9"/>
  <c r="BM57" i="9"/>
  <c r="BQ57" i="9"/>
  <c r="BS57" i="9"/>
  <c r="BM58" i="9"/>
  <c r="BQ58" i="9"/>
  <c r="BS58" i="9"/>
  <c r="BM59" i="9"/>
  <c r="BQ59" i="9"/>
  <c r="BS59" i="9"/>
  <c r="BM60" i="9"/>
  <c r="BQ60" i="9"/>
  <c r="BS60" i="9"/>
  <c r="BM61" i="9"/>
  <c r="BQ61" i="9"/>
  <c r="BS61" i="9"/>
  <c r="BM62" i="9"/>
  <c r="BQ62" i="9"/>
  <c r="BS62" i="9"/>
  <c r="BM63" i="9"/>
  <c r="BQ63" i="9"/>
  <c r="BS63" i="9"/>
  <c r="BM64" i="9"/>
  <c r="BQ64" i="9"/>
  <c r="BS64" i="9"/>
  <c r="BM65" i="9"/>
  <c r="BQ65" i="9"/>
  <c r="BS65" i="9"/>
  <c r="BM66" i="9"/>
  <c r="BQ66" i="9"/>
  <c r="BS66" i="9"/>
  <c r="BM67" i="9"/>
  <c r="BQ67" i="9"/>
  <c r="BS67" i="9"/>
  <c r="BM68" i="9"/>
  <c r="BQ68" i="9"/>
  <c r="BS68" i="9"/>
  <c r="BM69" i="9"/>
  <c r="BQ69" i="9"/>
  <c r="BS69" i="9"/>
  <c r="BM70" i="9"/>
  <c r="BQ70" i="9"/>
  <c r="BS70" i="9"/>
  <c r="BM71" i="9"/>
  <c r="BQ71" i="9"/>
  <c r="BS71" i="9"/>
  <c r="BM72" i="9"/>
  <c r="BQ72" i="9"/>
  <c r="BS72" i="9"/>
  <c r="BM73" i="9"/>
  <c r="BQ73" i="9"/>
  <c r="BS73" i="9"/>
  <c r="BM74" i="9"/>
  <c r="BQ74" i="9"/>
  <c r="BS74" i="9"/>
  <c r="BM75" i="9"/>
  <c r="BQ75" i="9"/>
  <c r="BS75" i="9"/>
  <c r="BM76" i="9"/>
  <c r="BQ76" i="9"/>
  <c r="BS76" i="9"/>
  <c r="BM77" i="9"/>
  <c r="BQ77" i="9"/>
  <c r="BS77" i="9"/>
  <c r="BM78" i="9"/>
  <c r="BQ78" i="9"/>
  <c r="BS78" i="9"/>
  <c r="BM79" i="9"/>
  <c r="BQ79" i="9"/>
  <c r="BS79" i="9"/>
  <c r="BM80" i="9"/>
  <c r="BQ80" i="9"/>
  <c r="BS80" i="9"/>
  <c r="BM81" i="9"/>
  <c r="BQ81" i="9"/>
  <c r="BS81" i="9"/>
  <c r="BM82" i="9"/>
  <c r="BQ82" i="9"/>
  <c r="BS82" i="9"/>
  <c r="BM83" i="9"/>
  <c r="BQ83" i="9"/>
  <c r="BS83" i="9"/>
  <c r="BM84" i="9"/>
  <c r="BQ84" i="9"/>
  <c r="BS84" i="9"/>
  <c r="BS4" i="9"/>
  <c r="BQ4" i="9"/>
  <c r="BM4" i="9"/>
  <c r="BK5" i="8"/>
  <c r="BL5" i="8"/>
  <c r="BO5" i="8"/>
  <c r="BQ5" i="8"/>
  <c r="BK6" i="8"/>
  <c r="BL6" i="8"/>
  <c r="BO6" i="8"/>
  <c r="BQ6" i="8"/>
  <c r="BK7" i="8"/>
  <c r="BL7" i="8"/>
  <c r="BO7" i="8"/>
  <c r="BQ7" i="8"/>
  <c r="BK8" i="8"/>
  <c r="BL8" i="8"/>
  <c r="BO8" i="8"/>
  <c r="BQ8" i="8"/>
  <c r="BK9" i="8"/>
  <c r="BL9" i="8"/>
  <c r="BO9" i="8"/>
  <c r="BQ9" i="8"/>
  <c r="BK10" i="8"/>
  <c r="BL10" i="8"/>
  <c r="BO10" i="8"/>
  <c r="BQ10" i="8"/>
  <c r="BK11" i="8"/>
  <c r="BL11" i="8"/>
  <c r="BO11" i="8"/>
  <c r="BQ11" i="8"/>
  <c r="BK12" i="8"/>
  <c r="BL12" i="8"/>
  <c r="BO12" i="8"/>
  <c r="BQ12" i="8"/>
  <c r="BK13" i="8"/>
  <c r="BL13" i="8"/>
  <c r="BO13" i="8"/>
  <c r="BQ13" i="8"/>
  <c r="BK14" i="8"/>
  <c r="BL14" i="8"/>
  <c r="BO14" i="8"/>
  <c r="BQ14" i="8"/>
  <c r="BK15" i="8"/>
  <c r="BL15" i="8"/>
  <c r="BO15" i="8"/>
  <c r="BQ15" i="8"/>
  <c r="BK16" i="8"/>
  <c r="BL16" i="8"/>
  <c r="BO16" i="8"/>
  <c r="BQ16" i="8"/>
  <c r="BK17" i="8"/>
  <c r="BL17" i="8"/>
  <c r="BO17" i="8"/>
  <c r="BQ17" i="8"/>
  <c r="BK18" i="8"/>
  <c r="BL18" i="8"/>
  <c r="BO18" i="8"/>
  <c r="BQ18" i="8"/>
  <c r="BK19" i="8"/>
  <c r="BL19" i="8"/>
  <c r="BO19" i="8"/>
  <c r="BQ19" i="8"/>
  <c r="BK20" i="8"/>
  <c r="BL20" i="8"/>
  <c r="BO20" i="8"/>
  <c r="BQ20" i="8"/>
  <c r="BK21" i="8"/>
  <c r="BL21" i="8"/>
  <c r="BO21" i="8"/>
  <c r="BQ21" i="8"/>
  <c r="BK22" i="8"/>
  <c r="BL22" i="8"/>
  <c r="BO22" i="8"/>
  <c r="BQ22" i="8"/>
  <c r="BK23" i="8"/>
  <c r="BL23" i="8"/>
  <c r="BO23" i="8"/>
  <c r="BQ23" i="8"/>
  <c r="BK24" i="8"/>
  <c r="BL24" i="8"/>
  <c r="BO24" i="8"/>
  <c r="BQ24" i="8"/>
  <c r="BK25" i="8"/>
  <c r="BL25" i="8"/>
  <c r="BO25" i="8"/>
  <c r="BQ25" i="8"/>
  <c r="BK26" i="8"/>
  <c r="BL26" i="8"/>
  <c r="BO26" i="8"/>
  <c r="BQ26" i="8"/>
  <c r="BK27" i="8"/>
  <c r="BL27" i="8"/>
  <c r="BO27" i="8"/>
  <c r="BQ27" i="8"/>
  <c r="BK28" i="8"/>
  <c r="BL28" i="8"/>
  <c r="BO28" i="8"/>
  <c r="BQ28" i="8"/>
  <c r="BK29" i="8"/>
  <c r="BL29" i="8"/>
  <c r="BO29" i="8"/>
  <c r="BQ29" i="8"/>
  <c r="BK30" i="8"/>
  <c r="BL30" i="8"/>
  <c r="BO30" i="8"/>
  <c r="BQ30" i="8"/>
  <c r="BK31" i="8"/>
  <c r="BL31" i="8"/>
  <c r="BO31" i="8"/>
  <c r="BQ31" i="8"/>
  <c r="BK32" i="8"/>
  <c r="BL32" i="8"/>
  <c r="BO32" i="8"/>
  <c r="BQ32" i="8"/>
  <c r="BK33" i="8"/>
  <c r="BL33" i="8"/>
  <c r="BO33" i="8"/>
  <c r="BQ33" i="8"/>
  <c r="BK34" i="8"/>
  <c r="BL34" i="8"/>
  <c r="BO34" i="8"/>
  <c r="BQ34" i="8"/>
  <c r="BK35" i="8"/>
  <c r="BL35" i="8"/>
  <c r="BO35" i="8"/>
  <c r="BQ35" i="8"/>
  <c r="BK36" i="8"/>
  <c r="BL36" i="8"/>
  <c r="BO36" i="8"/>
  <c r="BQ36" i="8"/>
  <c r="BK37" i="8"/>
  <c r="BL37" i="8"/>
  <c r="BO37" i="8"/>
  <c r="BQ37" i="8"/>
  <c r="BK38" i="8"/>
  <c r="BL38" i="8"/>
  <c r="BO38" i="8"/>
  <c r="BQ38" i="8"/>
  <c r="BK39" i="8"/>
  <c r="BL39" i="8"/>
  <c r="BO39" i="8"/>
  <c r="BQ39" i="8"/>
  <c r="BK40" i="8"/>
  <c r="BL40" i="8"/>
  <c r="BO40" i="8"/>
  <c r="BQ40" i="8"/>
  <c r="BK41" i="8"/>
  <c r="BL41" i="8"/>
  <c r="BO41" i="8"/>
  <c r="BQ41" i="8"/>
  <c r="BK42" i="8"/>
  <c r="BL42" i="8"/>
  <c r="BO42" i="8"/>
  <c r="BQ42" i="8"/>
  <c r="BK43" i="8"/>
  <c r="BL43" i="8"/>
  <c r="BO43" i="8"/>
  <c r="BQ43" i="8"/>
  <c r="BK44" i="8"/>
  <c r="BL44" i="8"/>
  <c r="BO44" i="8"/>
  <c r="BQ44" i="8"/>
  <c r="BK45" i="8"/>
  <c r="BL45" i="8"/>
  <c r="BO45" i="8"/>
  <c r="BQ45" i="8"/>
  <c r="BK46" i="8"/>
  <c r="BL46" i="8"/>
  <c r="BO46" i="8"/>
  <c r="BQ46" i="8"/>
  <c r="BK47" i="8"/>
  <c r="BL47" i="8"/>
  <c r="BO47" i="8"/>
  <c r="BQ47" i="8"/>
  <c r="BK48" i="8"/>
  <c r="BL48" i="8"/>
  <c r="BO48" i="8"/>
  <c r="BQ48" i="8"/>
  <c r="BK49" i="8"/>
  <c r="BL49" i="8"/>
  <c r="BO49" i="8"/>
  <c r="BQ49" i="8"/>
  <c r="BK50" i="8"/>
  <c r="BL50" i="8"/>
  <c r="BO50" i="8"/>
  <c r="BQ50" i="8"/>
  <c r="BK51" i="8"/>
  <c r="BL51" i="8"/>
  <c r="BO51" i="8"/>
  <c r="BQ51" i="8"/>
  <c r="BK52" i="8"/>
  <c r="BL52" i="8"/>
  <c r="BO52" i="8"/>
  <c r="BQ52" i="8"/>
  <c r="BK53" i="8"/>
  <c r="BL53" i="8"/>
  <c r="BO53" i="8"/>
  <c r="BQ53" i="8"/>
  <c r="BK54" i="8"/>
  <c r="BL54" i="8"/>
  <c r="BO54" i="8"/>
  <c r="BQ54" i="8"/>
  <c r="BK55" i="8"/>
  <c r="BL55" i="8"/>
  <c r="BO55" i="8"/>
  <c r="BQ55" i="8"/>
  <c r="BK56" i="8"/>
  <c r="BL56" i="8"/>
  <c r="BO56" i="8"/>
  <c r="BQ56" i="8"/>
  <c r="BK57" i="8"/>
  <c r="BL57" i="8"/>
  <c r="BO57" i="8"/>
  <c r="BQ57" i="8"/>
  <c r="BK58" i="8"/>
  <c r="BL58" i="8"/>
  <c r="BO58" i="8"/>
  <c r="BQ58" i="8"/>
  <c r="BK59" i="8"/>
  <c r="BL59" i="8"/>
  <c r="BO59" i="8"/>
  <c r="BQ59" i="8"/>
  <c r="BK60" i="8"/>
  <c r="BL60" i="8"/>
  <c r="BO60" i="8"/>
  <c r="BQ60" i="8"/>
  <c r="BK61" i="8"/>
  <c r="BL61" i="8"/>
  <c r="BO61" i="8"/>
  <c r="BQ61" i="8"/>
  <c r="BK62" i="8"/>
  <c r="BL62" i="8"/>
  <c r="BO62" i="8"/>
  <c r="BQ62" i="8"/>
  <c r="BK63" i="8"/>
  <c r="BL63" i="8"/>
  <c r="BO63" i="8"/>
  <c r="BQ63" i="8"/>
  <c r="BK64" i="8"/>
  <c r="BL64" i="8"/>
  <c r="BO64" i="8"/>
  <c r="BQ64" i="8"/>
  <c r="BK65" i="8"/>
  <c r="BL65" i="8"/>
  <c r="BO65" i="8"/>
  <c r="BQ65" i="8"/>
  <c r="BK66" i="8"/>
  <c r="BL66" i="8"/>
  <c r="BO66" i="8"/>
  <c r="BQ66" i="8"/>
  <c r="BK67" i="8"/>
  <c r="BL67" i="8"/>
  <c r="BO67" i="8"/>
  <c r="BQ67" i="8"/>
  <c r="BK68" i="8"/>
  <c r="BL68" i="8"/>
  <c r="BO68" i="8"/>
  <c r="BQ68" i="8"/>
  <c r="BK69" i="8"/>
  <c r="BL69" i="8"/>
  <c r="BO69" i="8"/>
  <c r="BQ69" i="8"/>
  <c r="BK70" i="8"/>
  <c r="BL70" i="8"/>
  <c r="BO70" i="8"/>
  <c r="BQ70" i="8"/>
  <c r="BK71" i="8"/>
  <c r="BL71" i="8"/>
  <c r="BO71" i="8"/>
  <c r="BQ71" i="8"/>
  <c r="BK72" i="8"/>
  <c r="BL72" i="8"/>
  <c r="BO72" i="8"/>
  <c r="BQ72" i="8"/>
  <c r="BK73" i="8"/>
  <c r="BL73" i="8"/>
  <c r="BO73" i="8"/>
  <c r="BQ73" i="8"/>
  <c r="BK74" i="8"/>
  <c r="BL74" i="8"/>
  <c r="BO74" i="8"/>
  <c r="BQ74" i="8"/>
  <c r="BK75" i="8"/>
  <c r="BL75" i="8"/>
  <c r="BO75" i="8"/>
  <c r="BQ75" i="8"/>
  <c r="BK76" i="8"/>
  <c r="BL76" i="8"/>
  <c r="BO76" i="8"/>
  <c r="BQ76" i="8"/>
  <c r="BK77" i="8"/>
  <c r="BL77" i="8"/>
  <c r="BO77" i="8"/>
  <c r="BQ77" i="8"/>
  <c r="BK78" i="8"/>
  <c r="BL78" i="8"/>
  <c r="BO78" i="8"/>
  <c r="BQ78" i="8"/>
  <c r="BK79" i="8"/>
  <c r="BL79" i="8"/>
  <c r="BO79" i="8"/>
  <c r="BQ79" i="8"/>
  <c r="BK80" i="8"/>
  <c r="BL80" i="8"/>
  <c r="BO80" i="8"/>
  <c r="BQ80" i="8"/>
  <c r="BK81" i="8"/>
  <c r="BL81" i="8"/>
  <c r="BO81" i="8"/>
  <c r="BQ81" i="8"/>
  <c r="BK82" i="8"/>
  <c r="BL82" i="8"/>
  <c r="BO82" i="8"/>
  <c r="BQ82" i="8"/>
  <c r="BK83" i="8"/>
  <c r="BL83" i="8"/>
  <c r="BO83" i="8"/>
  <c r="BQ83" i="8"/>
  <c r="BK84" i="8"/>
  <c r="BL84" i="8"/>
  <c r="BO84" i="8"/>
  <c r="BQ84" i="8"/>
  <c r="BQ4" i="8"/>
  <c r="BO4" i="8"/>
  <c r="BL4" i="8"/>
  <c r="BK4" i="8"/>
  <c r="BF5" i="9"/>
  <c r="BG5" i="9"/>
  <c r="BH5" i="9"/>
  <c r="BF6" i="9"/>
  <c r="BG6" i="9"/>
  <c r="BH6" i="9"/>
  <c r="BF7" i="9"/>
  <c r="BG7" i="9"/>
  <c r="BH7" i="9"/>
  <c r="BF8" i="9"/>
  <c r="BG8" i="9"/>
  <c r="BH8" i="9"/>
  <c r="BF9" i="9"/>
  <c r="BG9" i="9"/>
  <c r="BH9" i="9"/>
  <c r="BF10" i="9"/>
  <c r="BG10" i="9"/>
  <c r="BH10" i="9"/>
  <c r="BF11" i="9"/>
  <c r="BG11" i="9"/>
  <c r="BH11" i="9"/>
  <c r="BF12" i="9"/>
  <c r="BG12" i="9"/>
  <c r="BH12" i="9"/>
  <c r="BF13" i="9"/>
  <c r="BG13" i="9"/>
  <c r="BH13" i="9"/>
  <c r="BF14" i="9"/>
  <c r="BG14" i="9"/>
  <c r="BH14" i="9"/>
  <c r="BF15" i="9"/>
  <c r="BG15" i="9"/>
  <c r="BH15" i="9"/>
  <c r="BF16" i="9"/>
  <c r="BG16" i="9"/>
  <c r="BH16" i="9"/>
  <c r="BF17" i="9"/>
  <c r="BG17" i="9"/>
  <c r="BH17" i="9"/>
  <c r="BF18" i="9"/>
  <c r="BG18" i="9"/>
  <c r="BH18" i="9"/>
  <c r="BF19" i="9"/>
  <c r="BG19" i="9"/>
  <c r="BH19" i="9"/>
  <c r="BF20" i="9"/>
  <c r="BG20" i="9"/>
  <c r="BH20" i="9"/>
  <c r="BF21" i="9"/>
  <c r="BG21" i="9"/>
  <c r="BH21" i="9"/>
  <c r="BF22" i="9"/>
  <c r="BG22" i="9"/>
  <c r="BH22" i="9"/>
  <c r="BF23" i="9"/>
  <c r="BG23" i="9"/>
  <c r="BH23" i="9"/>
  <c r="BF24" i="9"/>
  <c r="BG24" i="9"/>
  <c r="BH24" i="9"/>
  <c r="BF25" i="9"/>
  <c r="BG25" i="9"/>
  <c r="BH25" i="9"/>
  <c r="BF26" i="9"/>
  <c r="BG26" i="9"/>
  <c r="BH26" i="9"/>
  <c r="BF27" i="9"/>
  <c r="BG27" i="9"/>
  <c r="BH27" i="9"/>
  <c r="BF28" i="9"/>
  <c r="BG28" i="9"/>
  <c r="BH28" i="9"/>
  <c r="BF29" i="9"/>
  <c r="BG29" i="9"/>
  <c r="BH29" i="9"/>
  <c r="BF30" i="9"/>
  <c r="BG30" i="9"/>
  <c r="BH30" i="9"/>
  <c r="BF31" i="9"/>
  <c r="BG31" i="9"/>
  <c r="BH31" i="9"/>
  <c r="BF32" i="9"/>
  <c r="BG32" i="9"/>
  <c r="BH32" i="9"/>
  <c r="BF33" i="9"/>
  <c r="BG33" i="9"/>
  <c r="BH33" i="9"/>
  <c r="BF34" i="9"/>
  <c r="BG34" i="9"/>
  <c r="BH34" i="9"/>
  <c r="BF35" i="9"/>
  <c r="BG35" i="9"/>
  <c r="BH35" i="9"/>
  <c r="BF36" i="9"/>
  <c r="BG36" i="9"/>
  <c r="BH36" i="9"/>
  <c r="BF37" i="9"/>
  <c r="BG37" i="9"/>
  <c r="BH37" i="9"/>
  <c r="BF38" i="9"/>
  <c r="BG38" i="9"/>
  <c r="BH38" i="9"/>
  <c r="BF39" i="9"/>
  <c r="BG39" i="9"/>
  <c r="BH39" i="9"/>
  <c r="BF40" i="9"/>
  <c r="BG40" i="9"/>
  <c r="BH40" i="9"/>
  <c r="BF41" i="9"/>
  <c r="BG41" i="9"/>
  <c r="BH41" i="9"/>
  <c r="BF42" i="9"/>
  <c r="BG42" i="9"/>
  <c r="BH42" i="9"/>
  <c r="BF43" i="9"/>
  <c r="BG43" i="9"/>
  <c r="BH43" i="9"/>
  <c r="BF44" i="9"/>
  <c r="BG44" i="9"/>
  <c r="BH44" i="9"/>
  <c r="BF45" i="9"/>
  <c r="BG45" i="9"/>
  <c r="BH45" i="9"/>
  <c r="BF46" i="9"/>
  <c r="BG46" i="9"/>
  <c r="BH46" i="9"/>
  <c r="BF47" i="9"/>
  <c r="BG47" i="9"/>
  <c r="BH47" i="9"/>
  <c r="BF48" i="9"/>
  <c r="BG48" i="9"/>
  <c r="BH48" i="9"/>
  <c r="BF49" i="9"/>
  <c r="BG49" i="9"/>
  <c r="BH49" i="9"/>
  <c r="BF50" i="9"/>
  <c r="BG50" i="9"/>
  <c r="BH50" i="9"/>
  <c r="BF51" i="9"/>
  <c r="BG51" i="9"/>
  <c r="BH51" i="9"/>
  <c r="BF52" i="9"/>
  <c r="BG52" i="9"/>
  <c r="BH52" i="9"/>
  <c r="BF53" i="9"/>
  <c r="BG53" i="9"/>
  <c r="BH53" i="9"/>
  <c r="BF54" i="9"/>
  <c r="BG54" i="9"/>
  <c r="BH54" i="9"/>
  <c r="BF55" i="9"/>
  <c r="BG55" i="9"/>
  <c r="BH55" i="9"/>
  <c r="BF56" i="9"/>
  <c r="BG56" i="9"/>
  <c r="BH56" i="9"/>
  <c r="BF57" i="9"/>
  <c r="BG57" i="9"/>
  <c r="BH57" i="9"/>
  <c r="BF58" i="9"/>
  <c r="BG58" i="9"/>
  <c r="BH58" i="9"/>
  <c r="BF59" i="9"/>
  <c r="BG59" i="9"/>
  <c r="BH59" i="9"/>
  <c r="BF60" i="9"/>
  <c r="BG60" i="9"/>
  <c r="BH60" i="9"/>
  <c r="BF61" i="9"/>
  <c r="BG61" i="9"/>
  <c r="BH61" i="9"/>
  <c r="BF62" i="9"/>
  <c r="BG62" i="9"/>
  <c r="BH62" i="9"/>
  <c r="BF63" i="9"/>
  <c r="BG63" i="9"/>
  <c r="BH63" i="9"/>
  <c r="BF64" i="9"/>
  <c r="BG64" i="9"/>
  <c r="BH64" i="9"/>
  <c r="BF65" i="9"/>
  <c r="BG65" i="9"/>
  <c r="BH65" i="9"/>
  <c r="BF66" i="9"/>
  <c r="BG66" i="9"/>
  <c r="BH66" i="9"/>
  <c r="BF67" i="9"/>
  <c r="BG67" i="9"/>
  <c r="BH67" i="9"/>
  <c r="BF68" i="9"/>
  <c r="BG68" i="9"/>
  <c r="BH68" i="9"/>
  <c r="BF69" i="9"/>
  <c r="BG69" i="9"/>
  <c r="BH69" i="9"/>
  <c r="BF70" i="9"/>
  <c r="BG70" i="9"/>
  <c r="BH70" i="9"/>
  <c r="BF71" i="9"/>
  <c r="BG71" i="9"/>
  <c r="BH71" i="9"/>
  <c r="BF72" i="9"/>
  <c r="BG72" i="9"/>
  <c r="BH72" i="9"/>
  <c r="BF73" i="9"/>
  <c r="BG73" i="9"/>
  <c r="BH73" i="9"/>
  <c r="BF74" i="9"/>
  <c r="BG74" i="9"/>
  <c r="BH74" i="9"/>
  <c r="BF75" i="9"/>
  <c r="BG75" i="9"/>
  <c r="BH75" i="9"/>
  <c r="BF76" i="9"/>
  <c r="BG76" i="9"/>
  <c r="BH76" i="9"/>
  <c r="BF77" i="9"/>
  <c r="BG77" i="9"/>
  <c r="BH77" i="9"/>
  <c r="BF78" i="9"/>
  <c r="BG78" i="9"/>
  <c r="BH78" i="9"/>
  <c r="BF79" i="9"/>
  <c r="BG79" i="9"/>
  <c r="BH79" i="9"/>
  <c r="BF80" i="9"/>
  <c r="BG80" i="9"/>
  <c r="BH80" i="9"/>
  <c r="BF81" i="9"/>
  <c r="BG81" i="9"/>
  <c r="BH81" i="9"/>
  <c r="BF82" i="9"/>
  <c r="BG82" i="9"/>
  <c r="BH82" i="9"/>
  <c r="BF83" i="9"/>
  <c r="BG83" i="9"/>
  <c r="BH83" i="9"/>
  <c r="BF84" i="9"/>
  <c r="BG84" i="9"/>
  <c r="BH84" i="9"/>
  <c r="BH4" i="9"/>
  <c r="BG4" i="9"/>
  <c r="BF4" i="9"/>
  <c r="BC5" i="8"/>
  <c r="BD5" i="8"/>
  <c r="BE5" i="8"/>
  <c r="BF5" i="8"/>
  <c r="BC6" i="8"/>
  <c r="BD6" i="8"/>
  <c r="BE6" i="8"/>
  <c r="BF6" i="8"/>
  <c r="BC7" i="8"/>
  <c r="BD7" i="8"/>
  <c r="BE7" i="8"/>
  <c r="BF7" i="8"/>
  <c r="BC8" i="8"/>
  <c r="BD8" i="8"/>
  <c r="BE8" i="8"/>
  <c r="BF8" i="8"/>
  <c r="BC9" i="8"/>
  <c r="BD9" i="8"/>
  <c r="BE9" i="8"/>
  <c r="BF9" i="8"/>
  <c r="BC10" i="8"/>
  <c r="BD10" i="8"/>
  <c r="BE10" i="8"/>
  <c r="BF10" i="8"/>
  <c r="BC11" i="8"/>
  <c r="BD11" i="8"/>
  <c r="BE11" i="8"/>
  <c r="BF11" i="8"/>
  <c r="BC12" i="8"/>
  <c r="BD12" i="8"/>
  <c r="BE12" i="8"/>
  <c r="BF12" i="8"/>
  <c r="BC13" i="8"/>
  <c r="BD13" i="8"/>
  <c r="BE13" i="8"/>
  <c r="BF13" i="8"/>
  <c r="BC14" i="8"/>
  <c r="BD14" i="8"/>
  <c r="BE14" i="8"/>
  <c r="BF14" i="8"/>
  <c r="BC15" i="8"/>
  <c r="BD15" i="8"/>
  <c r="BE15" i="8"/>
  <c r="BF15" i="8"/>
  <c r="BC16" i="8"/>
  <c r="BD16" i="8"/>
  <c r="BE16" i="8"/>
  <c r="BF16" i="8"/>
  <c r="BC17" i="8"/>
  <c r="BD17" i="8"/>
  <c r="BE17" i="8"/>
  <c r="BF17" i="8"/>
  <c r="BC18" i="8"/>
  <c r="BD18" i="8"/>
  <c r="BE18" i="8"/>
  <c r="BF18" i="8"/>
  <c r="BC19" i="8"/>
  <c r="BD19" i="8"/>
  <c r="BE19" i="8"/>
  <c r="BF19" i="8"/>
  <c r="BC20" i="8"/>
  <c r="BD20" i="8"/>
  <c r="BE20" i="8"/>
  <c r="BF20" i="8"/>
  <c r="BC21" i="8"/>
  <c r="BD21" i="8"/>
  <c r="BE21" i="8"/>
  <c r="BF21" i="8"/>
  <c r="BC22" i="8"/>
  <c r="BD22" i="8"/>
  <c r="BE22" i="8"/>
  <c r="BF22" i="8"/>
  <c r="BC23" i="8"/>
  <c r="BD23" i="8"/>
  <c r="BE23" i="8"/>
  <c r="BF23" i="8"/>
  <c r="BC24" i="8"/>
  <c r="BD24" i="8"/>
  <c r="BE24" i="8"/>
  <c r="BF24" i="8"/>
  <c r="BC25" i="8"/>
  <c r="BD25" i="8"/>
  <c r="BE25" i="8"/>
  <c r="BF25" i="8"/>
  <c r="BC26" i="8"/>
  <c r="BD26" i="8"/>
  <c r="BE26" i="8"/>
  <c r="BF26" i="8"/>
  <c r="BC27" i="8"/>
  <c r="BD27" i="8"/>
  <c r="BE27" i="8"/>
  <c r="BF27" i="8"/>
  <c r="BC28" i="8"/>
  <c r="BD28" i="8"/>
  <c r="BE28" i="8"/>
  <c r="BF28" i="8"/>
  <c r="BC29" i="8"/>
  <c r="BD29" i="8"/>
  <c r="BE29" i="8"/>
  <c r="BF29" i="8"/>
  <c r="BC30" i="8"/>
  <c r="BD30" i="8"/>
  <c r="BE30" i="8"/>
  <c r="BF30" i="8"/>
  <c r="BC31" i="8"/>
  <c r="BD31" i="8"/>
  <c r="BE31" i="8"/>
  <c r="BF31" i="8"/>
  <c r="BC32" i="8"/>
  <c r="BD32" i="8"/>
  <c r="BE32" i="8"/>
  <c r="BF32" i="8"/>
  <c r="BC33" i="8"/>
  <c r="BD33" i="8"/>
  <c r="BE33" i="8"/>
  <c r="BF33" i="8"/>
  <c r="BC34" i="8"/>
  <c r="BD34" i="8"/>
  <c r="BE34" i="8"/>
  <c r="BF34" i="8"/>
  <c r="BC35" i="8"/>
  <c r="BD35" i="8"/>
  <c r="BE35" i="8"/>
  <c r="BF35" i="8"/>
  <c r="BC36" i="8"/>
  <c r="BD36" i="8"/>
  <c r="BE36" i="8"/>
  <c r="BF36" i="8"/>
  <c r="BC37" i="8"/>
  <c r="BD37" i="8"/>
  <c r="BE37" i="8"/>
  <c r="BF37" i="8"/>
  <c r="BC38" i="8"/>
  <c r="BD38" i="8"/>
  <c r="BE38" i="8"/>
  <c r="BF38" i="8"/>
  <c r="BC39" i="8"/>
  <c r="BD39" i="8"/>
  <c r="BE39" i="8"/>
  <c r="BF39" i="8"/>
  <c r="BC40" i="8"/>
  <c r="BD40" i="8"/>
  <c r="BE40" i="8"/>
  <c r="BF40" i="8"/>
  <c r="BC41" i="8"/>
  <c r="BD41" i="8"/>
  <c r="BE41" i="8"/>
  <c r="BF41" i="8"/>
  <c r="BC42" i="8"/>
  <c r="BD42" i="8"/>
  <c r="BE42" i="8"/>
  <c r="BF42" i="8"/>
  <c r="BC43" i="8"/>
  <c r="BD43" i="8"/>
  <c r="BE43" i="8"/>
  <c r="BF43" i="8"/>
  <c r="BC44" i="8"/>
  <c r="BD44" i="8"/>
  <c r="BE44" i="8"/>
  <c r="BF44" i="8"/>
  <c r="BC45" i="8"/>
  <c r="BD45" i="8"/>
  <c r="BE45" i="8"/>
  <c r="BF45" i="8"/>
  <c r="BC46" i="8"/>
  <c r="BD46" i="8"/>
  <c r="BE46" i="8"/>
  <c r="BF46" i="8"/>
  <c r="BC47" i="8"/>
  <c r="BD47" i="8"/>
  <c r="BE47" i="8"/>
  <c r="BF47" i="8"/>
  <c r="BC48" i="8"/>
  <c r="BD48" i="8"/>
  <c r="BE48" i="8"/>
  <c r="BF48" i="8"/>
  <c r="BC49" i="8"/>
  <c r="BD49" i="8"/>
  <c r="BE49" i="8"/>
  <c r="BF49" i="8"/>
  <c r="BC50" i="8"/>
  <c r="BD50" i="8"/>
  <c r="BE50" i="8"/>
  <c r="BF50" i="8"/>
  <c r="BC51" i="8"/>
  <c r="BD51" i="8"/>
  <c r="BE51" i="8"/>
  <c r="BF51" i="8"/>
  <c r="BC52" i="8"/>
  <c r="BD52" i="8"/>
  <c r="BE52" i="8"/>
  <c r="BF52" i="8"/>
  <c r="BC53" i="8"/>
  <c r="BD53" i="8"/>
  <c r="BE53" i="8"/>
  <c r="BF53" i="8"/>
  <c r="BC54" i="8"/>
  <c r="BD54" i="8"/>
  <c r="BE54" i="8"/>
  <c r="BF54" i="8"/>
  <c r="BC55" i="8"/>
  <c r="BD55" i="8"/>
  <c r="BE55" i="8"/>
  <c r="BF55" i="8"/>
  <c r="BC56" i="8"/>
  <c r="BD56" i="8"/>
  <c r="BE56" i="8"/>
  <c r="BF56" i="8"/>
  <c r="BC57" i="8"/>
  <c r="BD57" i="8"/>
  <c r="BE57" i="8"/>
  <c r="BF57" i="8"/>
  <c r="BC58" i="8"/>
  <c r="BD58" i="8"/>
  <c r="BE58" i="8"/>
  <c r="BF58" i="8"/>
  <c r="BC59" i="8"/>
  <c r="BD59" i="8"/>
  <c r="BE59" i="8"/>
  <c r="BF59" i="8"/>
  <c r="BC60" i="8"/>
  <c r="BD60" i="8"/>
  <c r="BE60" i="8"/>
  <c r="BF60" i="8"/>
  <c r="BC61" i="8"/>
  <c r="BD61" i="8"/>
  <c r="BE61" i="8"/>
  <c r="BF61" i="8"/>
  <c r="BC62" i="8"/>
  <c r="BD62" i="8"/>
  <c r="BE62" i="8"/>
  <c r="BF62" i="8"/>
  <c r="BC63" i="8"/>
  <c r="BD63" i="8"/>
  <c r="BE63" i="8"/>
  <c r="BF63" i="8"/>
  <c r="BC64" i="8"/>
  <c r="BD64" i="8"/>
  <c r="BE64" i="8"/>
  <c r="BF64" i="8"/>
  <c r="BC65" i="8"/>
  <c r="BD65" i="8"/>
  <c r="BE65" i="8"/>
  <c r="BF65" i="8"/>
  <c r="BC66" i="8"/>
  <c r="BD66" i="8"/>
  <c r="BE66" i="8"/>
  <c r="BF66" i="8"/>
  <c r="BC67" i="8"/>
  <c r="BD67" i="8"/>
  <c r="BE67" i="8"/>
  <c r="BF67" i="8"/>
  <c r="BC68" i="8"/>
  <c r="BD68" i="8"/>
  <c r="BE68" i="8"/>
  <c r="BF68" i="8"/>
  <c r="BC69" i="8"/>
  <c r="BD69" i="8"/>
  <c r="BE69" i="8"/>
  <c r="BF69" i="8"/>
  <c r="BC70" i="8"/>
  <c r="BD70" i="8"/>
  <c r="BE70" i="8"/>
  <c r="BF70" i="8"/>
  <c r="BC71" i="8"/>
  <c r="BD71" i="8"/>
  <c r="BE71" i="8"/>
  <c r="BF71" i="8"/>
  <c r="BC72" i="8"/>
  <c r="BD72" i="8"/>
  <c r="BE72" i="8"/>
  <c r="BF72" i="8"/>
  <c r="BC73" i="8"/>
  <c r="BD73" i="8"/>
  <c r="BE73" i="8"/>
  <c r="BF73" i="8"/>
  <c r="BC74" i="8"/>
  <c r="BD74" i="8"/>
  <c r="BE74" i="8"/>
  <c r="BF74" i="8"/>
  <c r="BC75" i="8"/>
  <c r="BD75" i="8"/>
  <c r="BE75" i="8"/>
  <c r="BF75" i="8"/>
  <c r="BC76" i="8"/>
  <c r="BD76" i="8"/>
  <c r="BE76" i="8"/>
  <c r="BF76" i="8"/>
  <c r="BC77" i="8"/>
  <c r="BD77" i="8"/>
  <c r="BE77" i="8"/>
  <c r="BF77" i="8"/>
  <c r="BC78" i="8"/>
  <c r="BD78" i="8"/>
  <c r="BE78" i="8"/>
  <c r="BF78" i="8"/>
  <c r="BC79" i="8"/>
  <c r="BD79" i="8"/>
  <c r="BE79" i="8"/>
  <c r="BF79" i="8"/>
  <c r="BC80" i="8"/>
  <c r="BD80" i="8"/>
  <c r="BE80" i="8"/>
  <c r="BF80" i="8"/>
  <c r="BC81" i="8"/>
  <c r="BD81" i="8"/>
  <c r="BE81" i="8"/>
  <c r="BF81" i="8"/>
  <c r="BC82" i="8"/>
  <c r="BD82" i="8"/>
  <c r="BE82" i="8"/>
  <c r="BF82" i="8"/>
  <c r="BC83" i="8"/>
  <c r="BD83" i="8"/>
  <c r="BE83" i="8"/>
  <c r="BF83" i="8"/>
  <c r="BC84" i="8"/>
  <c r="BD84" i="8"/>
  <c r="BE84" i="8"/>
  <c r="BF84" i="8"/>
  <c r="BF4" i="8"/>
  <c r="BE4" i="8"/>
  <c r="BD4" i="8"/>
  <c r="BC4" i="8"/>
  <c r="AP26" i="8"/>
  <c r="AQ26" i="8"/>
  <c r="AR26" i="8"/>
  <c r="AT26" i="8"/>
  <c r="AV26" i="8"/>
  <c r="AW26" i="8"/>
  <c r="AX26" i="8"/>
  <c r="AP27" i="8"/>
  <c r="AQ27" i="8"/>
  <c r="AR27" i="8"/>
  <c r="AT27" i="8"/>
  <c r="AV27" i="8"/>
  <c r="AW27" i="8"/>
  <c r="AX27" i="8"/>
  <c r="AP28" i="8"/>
  <c r="AQ28" i="8"/>
  <c r="AR28" i="8"/>
  <c r="AT28" i="8"/>
  <c r="AV28" i="8"/>
  <c r="AW28" i="8"/>
  <c r="AX28" i="8"/>
  <c r="AP29" i="8"/>
  <c r="AQ29" i="8"/>
  <c r="AR29" i="8"/>
  <c r="AT29" i="8"/>
  <c r="AV29" i="8"/>
  <c r="AW29" i="8"/>
  <c r="AX29" i="8"/>
  <c r="AP30" i="8"/>
  <c r="AQ30" i="8"/>
  <c r="AR30" i="8"/>
  <c r="AT30" i="8"/>
  <c r="AV30" i="8"/>
  <c r="AW30" i="8"/>
  <c r="AX30" i="8"/>
  <c r="AP31" i="8"/>
  <c r="AQ31" i="8"/>
  <c r="AR31" i="8"/>
  <c r="AT31" i="8"/>
  <c r="AV31" i="8"/>
  <c r="AW31" i="8"/>
  <c r="AX31" i="8"/>
  <c r="AP32" i="8"/>
  <c r="AQ32" i="8"/>
  <c r="AR32" i="8"/>
  <c r="AT32" i="8"/>
  <c r="AV32" i="8"/>
  <c r="AW32" i="8"/>
  <c r="AX32" i="8"/>
  <c r="AP33" i="8"/>
  <c r="AQ33" i="8"/>
  <c r="AR33" i="8"/>
  <c r="AT33" i="8"/>
  <c r="AV33" i="8"/>
  <c r="AW33" i="8"/>
  <c r="AX33" i="8"/>
  <c r="AP34" i="8"/>
  <c r="AQ34" i="8"/>
  <c r="AR34" i="8"/>
  <c r="AT34" i="8"/>
  <c r="AV34" i="8"/>
  <c r="AW34" i="8"/>
  <c r="AX34" i="8"/>
  <c r="AP35" i="8"/>
  <c r="AQ35" i="8"/>
  <c r="AR35" i="8"/>
  <c r="AT35" i="8"/>
  <c r="AV35" i="8"/>
  <c r="AW35" i="8"/>
  <c r="AX35" i="8"/>
  <c r="AP36" i="8"/>
  <c r="AQ36" i="8"/>
  <c r="AR36" i="8"/>
  <c r="AT36" i="8"/>
  <c r="AV36" i="8"/>
  <c r="AW36" i="8"/>
  <c r="AX36" i="8"/>
  <c r="AP37" i="8"/>
  <c r="AQ37" i="8"/>
  <c r="AR37" i="8"/>
  <c r="AT37" i="8"/>
  <c r="AV37" i="8"/>
  <c r="AW37" i="8"/>
  <c r="AX37" i="8"/>
  <c r="AP38" i="8"/>
  <c r="AQ38" i="8"/>
  <c r="AR38" i="8"/>
  <c r="AT38" i="8"/>
  <c r="AV38" i="8"/>
  <c r="AW38" i="8"/>
  <c r="AX38" i="8"/>
  <c r="AP39" i="8"/>
  <c r="AQ39" i="8"/>
  <c r="AR39" i="8"/>
  <c r="AT39" i="8"/>
  <c r="AV39" i="8"/>
  <c r="AW39" i="8"/>
  <c r="AX39" i="8"/>
  <c r="AP40" i="8"/>
  <c r="AQ40" i="8"/>
  <c r="AR40" i="8"/>
  <c r="AT40" i="8"/>
  <c r="AV40" i="8"/>
  <c r="AW40" i="8"/>
  <c r="AX40" i="8"/>
  <c r="AP41" i="8"/>
  <c r="AQ41" i="8"/>
  <c r="AR41" i="8"/>
  <c r="AT41" i="8"/>
  <c r="AV41" i="8"/>
  <c r="AW41" i="8"/>
  <c r="AX41" i="8"/>
  <c r="AP42" i="8"/>
  <c r="AQ42" i="8"/>
  <c r="AR42" i="8"/>
  <c r="AT42" i="8"/>
  <c r="AV42" i="8"/>
  <c r="AW42" i="8"/>
  <c r="AX42" i="8"/>
  <c r="AP43" i="8"/>
  <c r="AQ43" i="8"/>
  <c r="AR43" i="8"/>
  <c r="AT43" i="8"/>
  <c r="AV43" i="8"/>
  <c r="AW43" i="8"/>
  <c r="AX43" i="8"/>
  <c r="AP44" i="8"/>
  <c r="AQ44" i="8"/>
  <c r="AR44" i="8"/>
  <c r="AT44" i="8"/>
  <c r="AV44" i="8"/>
  <c r="AW44" i="8"/>
  <c r="AX44" i="8"/>
  <c r="AP45" i="8"/>
  <c r="AQ45" i="8"/>
  <c r="AR45" i="8"/>
  <c r="AT45" i="8"/>
  <c r="AV45" i="8"/>
  <c r="AW45" i="8"/>
  <c r="AX45" i="8"/>
  <c r="AP46" i="8"/>
  <c r="AQ46" i="8"/>
  <c r="AR46" i="8"/>
  <c r="AT46" i="8"/>
  <c r="AV46" i="8"/>
  <c r="AW46" i="8"/>
  <c r="AX46" i="8"/>
  <c r="AP47" i="8"/>
  <c r="AQ47" i="8"/>
  <c r="AR47" i="8"/>
  <c r="AT47" i="8"/>
  <c r="AV47" i="8"/>
  <c r="AW47" i="8"/>
  <c r="AX47" i="8"/>
  <c r="AP48" i="8"/>
  <c r="AQ48" i="8"/>
  <c r="AR48" i="8"/>
  <c r="AT48" i="8"/>
  <c r="AV48" i="8"/>
  <c r="AW48" i="8"/>
  <c r="AX48" i="8"/>
  <c r="AP49" i="8"/>
  <c r="AQ49" i="8"/>
  <c r="AR49" i="8"/>
  <c r="AT49" i="8"/>
  <c r="AV49" i="8"/>
  <c r="AW49" i="8"/>
  <c r="AX49" i="8"/>
  <c r="AP50" i="8"/>
  <c r="AQ50" i="8"/>
  <c r="AR50" i="8"/>
  <c r="AT50" i="8"/>
  <c r="AV50" i="8"/>
  <c r="AW50" i="8"/>
  <c r="AX50" i="8"/>
  <c r="AP51" i="8"/>
  <c r="AQ51" i="8"/>
  <c r="AR51" i="8"/>
  <c r="AT51" i="8"/>
  <c r="AV51" i="8"/>
  <c r="AW51" i="8"/>
  <c r="AX51" i="8"/>
  <c r="AP52" i="8"/>
  <c r="AQ52" i="8"/>
  <c r="AR52" i="8"/>
  <c r="AT52" i="8"/>
  <c r="AV52" i="8"/>
  <c r="AW52" i="8"/>
  <c r="AX52" i="8"/>
  <c r="AP53" i="8"/>
  <c r="AQ53" i="8"/>
  <c r="AR53" i="8"/>
  <c r="AT53" i="8"/>
  <c r="AV53" i="8"/>
  <c r="AW53" i="8"/>
  <c r="AX53" i="8"/>
  <c r="AP54" i="8"/>
  <c r="AQ54" i="8"/>
  <c r="AR54" i="8"/>
  <c r="AT54" i="8"/>
  <c r="AV54" i="8"/>
  <c r="AW54" i="8"/>
  <c r="AX54" i="8"/>
  <c r="AP55" i="8"/>
  <c r="AQ55" i="8"/>
  <c r="AR55" i="8"/>
  <c r="AT55" i="8"/>
  <c r="AV55" i="8"/>
  <c r="AW55" i="8"/>
  <c r="AX55" i="8"/>
  <c r="AP56" i="8"/>
  <c r="AQ56" i="8"/>
  <c r="AR56" i="8"/>
  <c r="AT56" i="8"/>
  <c r="AV56" i="8"/>
  <c r="AW56" i="8"/>
  <c r="AX56" i="8"/>
  <c r="AP57" i="8"/>
  <c r="AQ57" i="8"/>
  <c r="AR57" i="8"/>
  <c r="AT57" i="8"/>
  <c r="AV57" i="8"/>
  <c r="AW57" i="8"/>
  <c r="AX57" i="8"/>
  <c r="AP58" i="8"/>
  <c r="AQ58" i="8"/>
  <c r="AR58" i="8"/>
  <c r="AT58" i="8"/>
  <c r="AV58" i="8"/>
  <c r="AW58" i="8"/>
  <c r="AX58" i="8"/>
  <c r="AP59" i="8"/>
  <c r="AQ59" i="8"/>
  <c r="AR59" i="8"/>
  <c r="AT59" i="8"/>
  <c r="AV59" i="8"/>
  <c r="AW59" i="8"/>
  <c r="AX59" i="8"/>
  <c r="AP60" i="8"/>
  <c r="AQ60" i="8"/>
  <c r="AR60" i="8"/>
  <c r="AT60" i="8"/>
  <c r="AV60" i="8"/>
  <c r="AW60" i="8"/>
  <c r="AX60" i="8"/>
  <c r="AP61" i="8"/>
  <c r="AQ61" i="8"/>
  <c r="AR61" i="8"/>
  <c r="AT61" i="8"/>
  <c r="AV61" i="8"/>
  <c r="AW61" i="8"/>
  <c r="AX61" i="8"/>
  <c r="AP62" i="8"/>
  <c r="AQ62" i="8"/>
  <c r="AR62" i="8"/>
  <c r="AT62" i="8"/>
  <c r="AV62" i="8"/>
  <c r="AW62" i="8"/>
  <c r="AX62" i="8"/>
  <c r="AP63" i="8"/>
  <c r="AQ63" i="8"/>
  <c r="AR63" i="8"/>
  <c r="AT63" i="8"/>
  <c r="AV63" i="8"/>
  <c r="AW63" i="8"/>
  <c r="AX63" i="8"/>
  <c r="AP64" i="8"/>
  <c r="AQ64" i="8"/>
  <c r="AR64" i="8"/>
  <c r="AT64" i="8"/>
  <c r="AV64" i="8"/>
  <c r="AW64" i="8"/>
  <c r="AX64" i="8"/>
  <c r="AP65" i="8"/>
  <c r="AQ65" i="8"/>
  <c r="AR65" i="8"/>
  <c r="AT65" i="8"/>
  <c r="AV65" i="8"/>
  <c r="AW65" i="8"/>
  <c r="AX65" i="8"/>
  <c r="AP66" i="8"/>
  <c r="AQ66" i="8"/>
  <c r="AR66" i="8"/>
  <c r="AT66" i="8"/>
  <c r="AV66" i="8"/>
  <c r="AW66" i="8"/>
  <c r="AX66" i="8"/>
  <c r="AP67" i="8"/>
  <c r="AQ67" i="8"/>
  <c r="AR67" i="8"/>
  <c r="AT67" i="8"/>
  <c r="AV67" i="8"/>
  <c r="AW67" i="8"/>
  <c r="AX67" i="8"/>
  <c r="AP68" i="8"/>
  <c r="AQ68" i="8"/>
  <c r="AR68" i="8"/>
  <c r="AT68" i="8"/>
  <c r="AV68" i="8"/>
  <c r="AW68" i="8"/>
  <c r="AX68" i="8"/>
  <c r="AP69" i="8"/>
  <c r="AQ69" i="8"/>
  <c r="AR69" i="8"/>
  <c r="AT69" i="8"/>
  <c r="AV69" i="8"/>
  <c r="AW69" i="8"/>
  <c r="AX69" i="8"/>
  <c r="AP70" i="8"/>
  <c r="AQ70" i="8"/>
  <c r="AR70" i="8"/>
  <c r="AT70" i="8"/>
  <c r="AV70" i="8"/>
  <c r="AW70" i="8"/>
  <c r="AX70" i="8"/>
  <c r="AP71" i="8"/>
  <c r="AQ71" i="8"/>
  <c r="AR71" i="8"/>
  <c r="AT71" i="8"/>
  <c r="AV71" i="8"/>
  <c r="AW71" i="8"/>
  <c r="AX71" i="8"/>
  <c r="AP72" i="8"/>
  <c r="AQ72" i="8"/>
  <c r="AR72" i="8"/>
  <c r="AT72" i="8"/>
  <c r="AV72" i="8"/>
  <c r="AW72" i="8"/>
  <c r="AX72" i="8"/>
  <c r="AP73" i="8"/>
  <c r="AQ73" i="8"/>
  <c r="AR73" i="8"/>
  <c r="AT73" i="8"/>
  <c r="AV73" i="8"/>
  <c r="AW73" i="8"/>
  <c r="AX73" i="8"/>
  <c r="AP74" i="8"/>
  <c r="AQ74" i="8"/>
  <c r="AR74" i="8"/>
  <c r="AT74" i="8"/>
  <c r="AV74" i="8"/>
  <c r="AW74" i="8"/>
  <c r="AX74" i="8"/>
  <c r="AP75" i="8"/>
  <c r="AQ75" i="8"/>
  <c r="AR75" i="8"/>
  <c r="AT75" i="8"/>
  <c r="AV75" i="8"/>
  <c r="AW75" i="8"/>
  <c r="AX75" i="8"/>
  <c r="AP76" i="8"/>
  <c r="AQ76" i="8"/>
  <c r="AR76" i="8"/>
  <c r="AT76" i="8"/>
  <c r="AV76" i="8"/>
  <c r="AW76" i="8"/>
  <c r="AX76" i="8"/>
  <c r="AP77" i="8"/>
  <c r="AQ77" i="8"/>
  <c r="AR77" i="8"/>
  <c r="AT77" i="8"/>
  <c r="AV77" i="8"/>
  <c r="AW77" i="8"/>
  <c r="AX77" i="8"/>
  <c r="AP78" i="8"/>
  <c r="AQ78" i="8"/>
  <c r="AR78" i="8"/>
  <c r="AT78" i="8"/>
  <c r="AV78" i="8"/>
  <c r="AW78" i="8"/>
  <c r="AX78" i="8"/>
  <c r="AP79" i="8"/>
  <c r="AQ79" i="8"/>
  <c r="AR79" i="8"/>
  <c r="AT79" i="8"/>
  <c r="AV79" i="8"/>
  <c r="AW79" i="8"/>
  <c r="AX79" i="8"/>
  <c r="AP80" i="8"/>
  <c r="AQ80" i="8"/>
  <c r="AR80" i="8"/>
  <c r="AT80" i="8"/>
  <c r="AV80" i="8"/>
  <c r="AW80" i="8"/>
  <c r="AX80" i="8"/>
  <c r="AP81" i="8"/>
  <c r="AQ81" i="8"/>
  <c r="AR81" i="8"/>
  <c r="AT81" i="8"/>
  <c r="AV81" i="8"/>
  <c r="AW81" i="8"/>
  <c r="AX81" i="8"/>
  <c r="AP82" i="8"/>
  <c r="AQ82" i="8"/>
  <c r="AR82" i="8"/>
  <c r="AT82" i="8"/>
  <c r="AV82" i="8"/>
  <c r="AW82" i="8"/>
  <c r="AX82" i="8"/>
  <c r="AP83" i="8"/>
  <c r="AQ83" i="8"/>
  <c r="AR83" i="8"/>
  <c r="AT83" i="8"/>
  <c r="AV83" i="8"/>
  <c r="AW83" i="8"/>
  <c r="AX83" i="8"/>
  <c r="AP84" i="8"/>
  <c r="AQ84" i="8"/>
  <c r="AR84" i="8"/>
  <c r="AT84" i="8"/>
  <c r="AV84" i="8"/>
  <c r="AW84" i="8"/>
  <c r="AX84" i="8"/>
  <c r="AP5" i="8"/>
  <c r="AQ5" i="8"/>
  <c r="AR5" i="8"/>
  <c r="AT5" i="8"/>
  <c r="AV5" i="8"/>
  <c r="AW5" i="8"/>
  <c r="AX5" i="8"/>
  <c r="AP6" i="8"/>
  <c r="AQ6" i="8"/>
  <c r="AR6" i="8"/>
  <c r="AT6" i="8"/>
  <c r="AV6" i="8"/>
  <c r="AW6" i="8"/>
  <c r="AX6" i="8"/>
  <c r="AP7" i="8"/>
  <c r="AQ7" i="8"/>
  <c r="AR7" i="8"/>
  <c r="AT7" i="8"/>
  <c r="AV7" i="8"/>
  <c r="AW7" i="8"/>
  <c r="AX7" i="8"/>
  <c r="AP8" i="8"/>
  <c r="AQ8" i="8"/>
  <c r="AR8" i="8"/>
  <c r="AT8" i="8"/>
  <c r="AV8" i="8"/>
  <c r="AW8" i="8"/>
  <c r="AX8" i="8"/>
  <c r="AP9" i="8"/>
  <c r="AQ9" i="8"/>
  <c r="AR9" i="8"/>
  <c r="AT9" i="8"/>
  <c r="AV9" i="8"/>
  <c r="AW9" i="8"/>
  <c r="AX9" i="8"/>
  <c r="AP10" i="8"/>
  <c r="AQ10" i="8"/>
  <c r="AR10" i="8"/>
  <c r="AT10" i="8"/>
  <c r="AV10" i="8"/>
  <c r="AW10" i="8"/>
  <c r="AX10" i="8"/>
  <c r="AP11" i="8"/>
  <c r="AQ11" i="8"/>
  <c r="AR11" i="8"/>
  <c r="AT11" i="8"/>
  <c r="AV11" i="8"/>
  <c r="AW11" i="8"/>
  <c r="AX11" i="8"/>
  <c r="AP12" i="8"/>
  <c r="AQ12" i="8"/>
  <c r="AR12" i="8"/>
  <c r="AT12" i="8"/>
  <c r="AV12" i="8"/>
  <c r="AW12" i="8"/>
  <c r="AX12" i="8"/>
  <c r="AP13" i="8"/>
  <c r="AQ13" i="8"/>
  <c r="AR13" i="8"/>
  <c r="AT13" i="8"/>
  <c r="AV13" i="8"/>
  <c r="AW13" i="8"/>
  <c r="AX13" i="8"/>
  <c r="AP14" i="8"/>
  <c r="AQ14" i="8"/>
  <c r="AR14" i="8"/>
  <c r="AT14" i="8"/>
  <c r="AV14" i="8"/>
  <c r="AW14" i="8"/>
  <c r="AX14" i="8"/>
  <c r="AP15" i="8"/>
  <c r="AQ15" i="8"/>
  <c r="AR15" i="8"/>
  <c r="AT15" i="8"/>
  <c r="AV15" i="8"/>
  <c r="AW15" i="8"/>
  <c r="AX15" i="8"/>
  <c r="AP16" i="8"/>
  <c r="AQ16" i="8"/>
  <c r="AR16" i="8"/>
  <c r="AT16" i="8"/>
  <c r="AV16" i="8"/>
  <c r="AW16" i="8"/>
  <c r="AX16" i="8"/>
  <c r="AP17" i="8"/>
  <c r="AQ17" i="8"/>
  <c r="AR17" i="8"/>
  <c r="AT17" i="8"/>
  <c r="AV17" i="8"/>
  <c r="AW17" i="8"/>
  <c r="AX17" i="8"/>
  <c r="AP18" i="8"/>
  <c r="AQ18" i="8"/>
  <c r="AR18" i="8"/>
  <c r="AT18" i="8"/>
  <c r="AV18" i="8"/>
  <c r="AW18" i="8"/>
  <c r="AX18" i="8"/>
  <c r="AP19" i="8"/>
  <c r="AQ19" i="8"/>
  <c r="AR19" i="8"/>
  <c r="AT19" i="8"/>
  <c r="AV19" i="8"/>
  <c r="AW19" i="8"/>
  <c r="AX19" i="8"/>
  <c r="AP20" i="8"/>
  <c r="AQ20" i="8"/>
  <c r="AR20" i="8"/>
  <c r="AT20" i="8"/>
  <c r="AV20" i="8"/>
  <c r="AW20" i="8"/>
  <c r="AX20" i="8"/>
  <c r="AP21" i="8"/>
  <c r="AQ21" i="8"/>
  <c r="AR21" i="8"/>
  <c r="AT21" i="8"/>
  <c r="AV21" i="8"/>
  <c r="AW21" i="8"/>
  <c r="AX21" i="8"/>
  <c r="AP22" i="8"/>
  <c r="AQ22" i="8"/>
  <c r="AR22" i="8"/>
  <c r="AT22" i="8"/>
  <c r="AV22" i="8"/>
  <c r="AW22" i="8"/>
  <c r="AX22" i="8"/>
  <c r="AP23" i="8"/>
  <c r="AQ23" i="8"/>
  <c r="AR23" i="8"/>
  <c r="AT23" i="8"/>
  <c r="AV23" i="8"/>
  <c r="AW23" i="8"/>
  <c r="AX23" i="8"/>
  <c r="AP24" i="8"/>
  <c r="AQ24" i="8"/>
  <c r="AR24" i="8"/>
  <c r="AT24" i="8"/>
  <c r="AV24" i="8"/>
  <c r="AW24" i="8"/>
  <c r="AX24" i="8"/>
  <c r="AP25" i="8"/>
  <c r="AQ25" i="8"/>
  <c r="AR25" i="8"/>
  <c r="AT25" i="8"/>
  <c r="AV25" i="8"/>
  <c r="AW25" i="8"/>
  <c r="AX25" i="8"/>
  <c r="AX4" i="8"/>
  <c r="AW4" i="8"/>
  <c r="AV4" i="8"/>
  <c r="AT4" i="8"/>
  <c r="AR4" i="8"/>
  <c r="AQ4" i="8"/>
  <c r="AP4" i="8"/>
  <c r="AT5" i="9"/>
  <c r="AU5" i="9"/>
  <c r="AW5" i="9"/>
  <c r="AY5" i="9"/>
  <c r="AZ5" i="9"/>
  <c r="BA5" i="9"/>
  <c r="AT6" i="9"/>
  <c r="AU6" i="9"/>
  <c r="AW6" i="9"/>
  <c r="AY6" i="9"/>
  <c r="AZ6" i="9"/>
  <c r="BA6" i="9"/>
  <c r="AT7" i="9"/>
  <c r="AU7" i="9"/>
  <c r="AW7" i="9"/>
  <c r="AY7" i="9"/>
  <c r="AZ7" i="9"/>
  <c r="BA7" i="9"/>
  <c r="AT8" i="9"/>
  <c r="AU8" i="9"/>
  <c r="AW8" i="9"/>
  <c r="AY8" i="9"/>
  <c r="AZ8" i="9"/>
  <c r="BA8" i="9"/>
  <c r="AT9" i="9"/>
  <c r="AU9" i="9"/>
  <c r="AW9" i="9"/>
  <c r="AY9" i="9"/>
  <c r="AZ9" i="9"/>
  <c r="BA9" i="9"/>
  <c r="AT10" i="9"/>
  <c r="AU10" i="9"/>
  <c r="AW10" i="9"/>
  <c r="AY10" i="9"/>
  <c r="AZ10" i="9"/>
  <c r="BA10" i="9"/>
  <c r="AT11" i="9"/>
  <c r="AU11" i="9"/>
  <c r="AW11" i="9"/>
  <c r="AY11" i="9"/>
  <c r="AZ11" i="9"/>
  <c r="BA11" i="9"/>
  <c r="AT12" i="9"/>
  <c r="AU12" i="9"/>
  <c r="AW12" i="9"/>
  <c r="AY12" i="9"/>
  <c r="AZ12" i="9"/>
  <c r="BA12" i="9"/>
  <c r="AT13" i="9"/>
  <c r="AU13" i="9"/>
  <c r="AW13" i="9"/>
  <c r="AY13" i="9"/>
  <c r="AZ13" i="9"/>
  <c r="BA13" i="9"/>
  <c r="AT14" i="9"/>
  <c r="AU14" i="9"/>
  <c r="AW14" i="9"/>
  <c r="AY14" i="9"/>
  <c r="AZ14" i="9"/>
  <c r="BA14" i="9"/>
  <c r="AT15" i="9"/>
  <c r="AU15" i="9"/>
  <c r="AW15" i="9"/>
  <c r="AY15" i="9"/>
  <c r="AZ15" i="9"/>
  <c r="BA15" i="9"/>
  <c r="AT16" i="9"/>
  <c r="AU16" i="9"/>
  <c r="AW16" i="9"/>
  <c r="AY16" i="9"/>
  <c r="AZ16" i="9"/>
  <c r="BA16" i="9"/>
  <c r="AT17" i="9"/>
  <c r="AU17" i="9"/>
  <c r="AW17" i="9"/>
  <c r="AY17" i="9"/>
  <c r="AZ17" i="9"/>
  <c r="BA17" i="9"/>
  <c r="AT18" i="9"/>
  <c r="AU18" i="9"/>
  <c r="AW18" i="9"/>
  <c r="AY18" i="9"/>
  <c r="AZ18" i="9"/>
  <c r="BA18" i="9"/>
  <c r="AT19" i="9"/>
  <c r="AU19" i="9"/>
  <c r="AW19" i="9"/>
  <c r="AY19" i="9"/>
  <c r="AZ19" i="9"/>
  <c r="BA19" i="9"/>
  <c r="AT20" i="9"/>
  <c r="AU20" i="9"/>
  <c r="AW20" i="9"/>
  <c r="AY20" i="9"/>
  <c r="AZ20" i="9"/>
  <c r="BA20" i="9"/>
  <c r="AT21" i="9"/>
  <c r="AU21" i="9"/>
  <c r="AW21" i="9"/>
  <c r="AY21" i="9"/>
  <c r="AZ21" i="9"/>
  <c r="BA21" i="9"/>
  <c r="AT22" i="9"/>
  <c r="AU22" i="9"/>
  <c r="AW22" i="9"/>
  <c r="AY22" i="9"/>
  <c r="AZ22" i="9"/>
  <c r="BA22" i="9"/>
  <c r="AT23" i="9"/>
  <c r="AU23" i="9"/>
  <c r="AW23" i="9"/>
  <c r="AY23" i="9"/>
  <c r="AZ23" i="9"/>
  <c r="BA23" i="9"/>
  <c r="AT24" i="9"/>
  <c r="AU24" i="9"/>
  <c r="AW24" i="9"/>
  <c r="AY24" i="9"/>
  <c r="AZ24" i="9"/>
  <c r="BA24" i="9"/>
  <c r="AT25" i="9"/>
  <c r="AU25" i="9"/>
  <c r="AW25" i="9"/>
  <c r="AY25" i="9"/>
  <c r="AZ25" i="9"/>
  <c r="BA25" i="9"/>
  <c r="AT26" i="9"/>
  <c r="AU26" i="9"/>
  <c r="AW26" i="9"/>
  <c r="AY26" i="9"/>
  <c r="AZ26" i="9"/>
  <c r="BA26" i="9"/>
  <c r="AT27" i="9"/>
  <c r="AU27" i="9"/>
  <c r="AW27" i="9"/>
  <c r="AY27" i="9"/>
  <c r="AZ27" i="9"/>
  <c r="BA27" i="9"/>
  <c r="AT28" i="9"/>
  <c r="AU28" i="9"/>
  <c r="AW28" i="9"/>
  <c r="AY28" i="9"/>
  <c r="AZ28" i="9"/>
  <c r="BA28" i="9"/>
  <c r="AT29" i="9"/>
  <c r="AU29" i="9"/>
  <c r="AW29" i="9"/>
  <c r="AY29" i="9"/>
  <c r="AZ29" i="9"/>
  <c r="BA29" i="9"/>
  <c r="AT30" i="9"/>
  <c r="AU30" i="9"/>
  <c r="AW30" i="9"/>
  <c r="AY30" i="9"/>
  <c r="AZ30" i="9"/>
  <c r="BA30" i="9"/>
  <c r="AT31" i="9"/>
  <c r="AU31" i="9"/>
  <c r="AW31" i="9"/>
  <c r="AY31" i="9"/>
  <c r="AZ31" i="9"/>
  <c r="BA31" i="9"/>
  <c r="AT32" i="9"/>
  <c r="AU32" i="9"/>
  <c r="AW32" i="9"/>
  <c r="AY32" i="9"/>
  <c r="AZ32" i="9"/>
  <c r="BA32" i="9"/>
  <c r="AT33" i="9"/>
  <c r="AU33" i="9"/>
  <c r="AW33" i="9"/>
  <c r="AY33" i="9"/>
  <c r="AZ33" i="9"/>
  <c r="BA33" i="9"/>
  <c r="AT34" i="9"/>
  <c r="AU34" i="9"/>
  <c r="AW34" i="9"/>
  <c r="AY34" i="9"/>
  <c r="AZ34" i="9"/>
  <c r="BA34" i="9"/>
  <c r="AT35" i="9"/>
  <c r="AU35" i="9"/>
  <c r="AW35" i="9"/>
  <c r="AY35" i="9"/>
  <c r="AZ35" i="9"/>
  <c r="BA35" i="9"/>
  <c r="AT36" i="9"/>
  <c r="AU36" i="9"/>
  <c r="AW36" i="9"/>
  <c r="AY36" i="9"/>
  <c r="AZ36" i="9"/>
  <c r="BA36" i="9"/>
  <c r="AT37" i="9"/>
  <c r="AU37" i="9"/>
  <c r="AW37" i="9"/>
  <c r="AY37" i="9"/>
  <c r="AZ37" i="9"/>
  <c r="BA37" i="9"/>
  <c r="AT38" i="9"/>
  <c r="AU38" i="9"/>
  <c r="AW38" i="9"/>
  <c r="AY38" i="9"/>
  <c r="AZ38" i="9"/>
  <c r="BA38" i="9"/>
  <c r="AT39" i="9"/>
  <c r="AU39" i="9"/>
  <c r="AW39" i="9"/>
  <c r="AY39" i="9"/>
  <c r="AZ39" i="9"/>
  <c r="BA39" i="9"/>
  <c r="AT40" i="9"/>
  <c r="AU40" i="9"/>
  <c r="AW40" i="9"/>
  <c r="AY40" i="9"/>
  <c r="AZ40" i="9"/>
  <c r="BA40" i="9"/>
  <c r="AT41" i="9"/>
  <c r="AU41" i="9"/>
  <c r="AW41" i="9"/>
  <c r="AY41" i="9"/>
  <c r="AZ41" i="9"/>
  <c r="BA41" i="9"/>
  <c r="AT42" i="9"/>
  <c r="AU42" i="9"/>
  <c r="AW42" i="9"/>
  <c r="AY42" i="9"/>
  <c r="AZ42" i="9"/>
  <c r="BA42" i="9"/>
  <c r="AT43" i="9"/>
  <c r="AU43" i="9"/>
  <c r="AW43" i="9"/>
  <c r="AY43" i="9"/>
  <c r="AZ43" i="9"/>
  <c r="BA43" i="9"/>
  <c r="AT44" i="9"/>
  <c r="AU44" i="9"/>
  <c r="AW44" i="9"/>
  <c r="AY44" i="9"/>
  <c r="AZ44" i="9"/>
  <c r="BA44" i="9"/>
  <c r="AT45" i="9"/>
  <c r="AU45" i="9"/>
  <c r="AW45" i="9"/>
  <c r="AY45" i="9"/>
  <c r="AZ45" i="9"/>
  <c r="BA45" i="9"/>
  <c r="AT46" i="9"/>
  <c r="AU46" i="9"/>
  <c r="AW46" i="9"/>
  <c r="AY46" i="9"/>
  <c r="AZ46" i="9"/>
  <c r="BA46" i="9"/>
  <c r="AT47" i="9"/>
  <c r="AU47" i="9"/>
  <c r="AW47" i="9"/>
  <c r="AY47" i="9"/>
  <c r="AZ47" i="9"/>
  <c r="BA47" i="9"/>
  <c r="AT48" i="9"/>
  <c r="AU48" i="9"/>
  <c r="AW48" i="9"/>
  <c r="AY48" i="9"/>
  <c r="AZ48" i="9"/>
  <c r="BA48" i="9"/>
  <c r="AT49" i="9"/>
  <c r="AU49" i="9"/>
  <c r="AW49" i="9"/>
  <c r="AY49" i="9"/>
  <c r="AZ49" i="9"/>
  <c r="BA49" i="9"/>
  <c r="AT50" i="9"/>
  <c r="AU50" i="9"/>
  <c r="AW50" i="9"/>
  <c r="AY50" i="9"/>
  <c r="AZ50" i="9"/>
  <c r="BA50" i="9"/>
  <c r="AT51" i="9"/>
  <c r="AU51" i="9"/>
  <c r="AW51" i="9"/>
  <c r="AY51" i="9"/>
  <c r="AZ51" i="9"/>
  <c r="BA51" i="9"/>
  <c r="AT52" i="9"/>
  <c r="AU52" i="9"/>
  <c r="AW52" i="9"/>
  <c r="AY52" i="9"/>
  <c r="AZ52" i="9"/>
  <c r="BA52" i="9"/>
  <c r="AT53" i="9"/>
  <c r="AU53" i="9"/>
  <c r="AW53" i="9"/>
  <c r="AY53" i="9"/>
  <c r="AZ53" i="9"/>
  <c r="BA53" i="9"/>
  <c r="AT54" i="9"/>
  <c r="AU54" i="9"/>
  <c r="AW54" i="9"/>
  <c r="AY54" i="9"/>
  <c r="AZ54" i="9"/>
  <c r="BA54" i="9"/>
  <c r="AT55" i="9"/>
  <c r="AU55" i="9"/>
  <c r="AW55" i="9"/>
  <c r="AY55" i="9"/>
  <c r="AZ55" i="9"/>
  <c r="BA55" i="9"/>
  <c r="AT56" i="9"/>
  <c r="AU56" i="9"/>
  <c r="AW56" i="9"/>
  <c r="AY56" i="9"/>
  <c r="AZ56" i="9"/>
  <c r="BA56" i="9"/>
  <c r="AT57" i="9"/>
  <c r="AU57" i="9"/>
  <c r="AW57" i="9"/>
  <c r="AY57" i="9"/>
  <c r="AZ57" i="9"/>
  <c r="BA57" i="9"/>
  <c r="AT58" i="9"/>
  <c r="AU58" i="9"/>
  <c r="AW58" i="9"/>
  <c r="AY58" i="9"/>
  <c r="AZ58" i="9"/>
  <c r="BA58" i="9"/>
  <c r="AT59" i="9"/>
  <c r="AU59" i="9"/>
  <c r="AW59" i="9"/>
  <c r="AY59" i="9"/>
  <c r="AZ59" i="9"/>
  <c r="BA59" i="9"/>
  <c r="AT60" i="9"/>
  <c r="AU60" i="9"/>
  <c r="AW60" i="9"/>
  <c r="AY60" i="9"/>
  <c r="AZ60" i="9"/>
  <c r="BA60" i="9"/>
  <c r="AT61" i="9"/>
  <c r="AU61" i="9"/>
  <c r="AW61" i="9"/>
  <c r="AY61" i="9"/>
  <c r="AZ61" i="9"/>
  <c r="BA61" i="9"/>
  <c r="AT62" i="9"/>
  <c r="AU62" i="9"/>
  <c r="AW62" i="9"/>
  <c r="AY62" i="9"/>
  <c r="AZ62" i="9"/>
  <c r="BA62" i="9"/>
  <c r="AT63" i="9"/>
  <c r="AU63" i="9"/>
  <c r="AW63" i="9"/>
  <c r="AY63" i="9"/>
  <c r="AZ63" i="9"/>
  <c r="BA63" i="9"/>
  <c r="AT64" i="9"/>
  <c r="AU64" i="9"/>
  <c r="AW64" i="9"/>
  <c r="AY64" i="9"/>
  <c r="AZ64" i="9"/>
  <c r="BA64" i="9"/>
  <c r="AT65" i="9"/>
  <c r="AU65" i="9"/>
  <c r="AW65" i="9"/>
  <c r="AY65" i="9"/>
  <c r="AZ65" i="9"/>
  <c r="BA65" i="9"/>
  <c r="AT66" i="9"/>
  <c r="AU66" i="9"/>
  <c r="AW66" i="9"/>
  <c r="AY66" i="9"/>
  <c r="AZ66" i="9"/>
  <c r="BA66" i="9"/>
  <c r="AT67" i="9"/>
  <c r="AU67" i="9"/>
  <c r="AW67" i="9"/>
  <c r="AY67" i="9"/>
  <c r="AZ67" i="9"/>
  <c r="BA67" i="9"/>
  <c r="AT68" i="9"/>
  <c r="AU68" i="9"/>
  <c r="AW68" i="9"/>
  <c r="AY68" i="9"/>
  <c r="AZ68" i="9"/>
  <c r="BA68" i="9"/>
  <c r="AT69" i="9"/>
  <c r="AU69" i="9"/>
  <c r="AW69" i="9"/>
  <c r="AY69" i="9"/>
  <c r="AZ69" i="9"/>
  <c r="BA69" i="9"/>
  <c r="AT70" i="9"/>
  <c r="AU70" i="9"/>
  <c r="AW70" i="9"/>
  <c r="AY70" i="9"/>
  <c r="AZ70" i="9"/>
  <c r="BA70" i="9"/>
  <c r="AT71" i="9"/>
  <c r="AU71" i="9"/>
  <c r="AW71" i="9"/>
  <c r="AY71" i="9"/>
  <c r="AZ71" i="9"/>
  <c r="BA71" i="9"/>
  <c r="AT72" i="9"/>
  <c r="AU72" i="9"/>
  <c r="AW72" i="9"/>
  <c r="AY72" i="9"/>
  <c r="AZ72" i="9"/>
  <c r="BA72" i="9"/>
  <c r="AT73" i="9"/>
  <c r="AU73" i="9"/>
  <c r="AW73" i="9"/>
  <c r="AY73" i="9"/>
  <c r="AZ73" i="9"/>
  <c r="BA73" i="9"/>
  <c r="AT74" i="9"/>
  <c r="AU74" i="9"/>
  <c r="AW74" i="9"/>
  <c r="AY74" i="9"/>
  <c r="AZ74" i="9"/>
  <c r="BA74" i="9"/>
  <c r="AT75" i="9"/>
  <c r="AU75" i="9"/>
  <c r="AW75" i="9"/>
  <c r="AY75" i="9"/>
  <c r="AZ75" i="9"/>
  <c r="BA75" i="9"/>
  <c r="AT76" i="9"/>
  <c r="AU76" i="9"/>
  <c r="AW76" i="9"/>
  <c r="AY76" i="9"/>
  <c r="AZ76" i="9"/>
  <c r="BA76" i="9"/>
  <c r="AT77" i="9"/>
  <c r="AU77" i="9"/>
  <c r="AW77" i="9"/>
  <c r="AY77" i="9"/>
  <c r="AZ77" i="9"/>
  <c r="BA77" i="9"/>
  <c r="AT78" i="9"/>
  <c r="AU78" i="9"/>
  <c r="AW78" i="9"/>
  <c r="AY78" i="9"/>
  <c r="AZ78" i="9"/>
  <c r="BA78" i="9"/>
  <c r="AT79" i="9"/>
  <c r="AU79" i="9"/>
  <c r="AW79" i="9"/>
  <c r="AY79" i="9"/>
  <c r="AZ79" i="9"/>
  <c r="BA79" i="9"/>
  <c r="AT80" i="9"/>
  <c r="AU80" i="9"/>
  <c r="AW80" i="9"/>
  <c r="AY80" i="9"/>
  <c r="AZ80" i="9"/>
  <c r="BA80" i="9"/>
  <c r="AT81" i="9"/>
  <c r="AU81" i="9"/>
  <c r="AW81" i="9"/>
  <c r="AY81" i="9"/>
  <c r="AZ81" i="9"/>
  <c r="BA81" i="9"/>
  <c r="AT82" i="9"/>
  <c r="AU82" i="9"/>
  <c r="AW82" i="9"/>
  <c r="AY82" i="9"/>
  <c r="AZ82" i="9"/>
  <c r="BA82" i="9"/>
  <c r="AT83" i="9"/>
  <c r="AU83" i="9"/>
  <c r="AW83" i="9"/>
  <c r="AY83" i="9"/>
  <c r="AZ83" i="9"/>
  <c r="BA83" i="9"/>
  <c r="AT84" i="9"/>
  <c r="AU84" i="9"/>
  <c r="AW84" i="9"/>
  <c r="AY84" i="9"/>
  <c r="AZ84" i="9"/>
  <c r="BA84" i="9"/>
  <c r="BA4" i="9"/>
  <c r="AZ4" i="9"/>
  <c r="AY4" i="9"/>
  <c r="AW4" i="9"/>
  <c r="AU4" i="9"/>
  <c r="AT4" i="9"/>
  <c r="AM5" i="9"/>
  <c r="AM6" i="9"/>
  <c r="AM7" i="9"/>
  <c r="AM8" i="9"/>
  <c r="AM9" i="9"/>
  <c r="AM10" i="9"/>
  <c r="AM11" i="9"/>
  <c r="AM12" i="9"/>
  <c r="AM13" i="9"/>
  <c r="AM14" i="9"/>
  <c r="AM15" i="9"/>
  <c r="AM16" i="9"/>
  <c r="AM17" i="9"/>
  <c r="AM18" i="9"/>
  <c r="AM19" i="9"/>
  <c r="AM20" i="9"/>
  <c r="AM21" i="9"/>
  <c r="AM22" i="9"/>
  <c r="AM23" i="9"/>
  <c r="AM24" i="9"/>
  <c r="AM25" i="9"/>
  <c r="AM26" i="9"/>
  <c r="AM27" i="9"/>
  <c r="AM28" i="9"/>
  <c r="AM29" i="9"/>
  <c r="AM30" i="9"/>
  <c r="AM31" i="9"/>
  <c r="AM32" i="9"/>
  <c r="AM33" i="9"/>
  <c r="AM34" i="9"/>
  <c r="AM35" i="9"/>
  <c r="AM36" i="9"/>
  <c r="AM37" i="9"/>
  <c r="AM38" i="9"/>
  <c r="AM39" i="9"/>
  <c r="AM40" i="9"/>
  <c r="AM41" i="9"/>
  <c r="AM42" i="9"/>
  <c r="AM43" i="9"/>
  <c r="AM44" i="9"/>
  <c r="AM45" i="9"/>
  <c r="AM46" i="9"/>
  <c r="AM47" i="9"/>
  <c r="AM48" i="9"/>
  <c r="AM49" i="9"/>
  <c r="AM50" i="9"/>
  <c r="AM51" i="9"/>
  <c r="AM52" i="9"/>
  <c r="AM53" i="9"/>
  <c r="AM54" i="9"/>
  <c r="AM55" i="9"/>
  <c r="AM56" i="9"/>
  <c r="AM57" i="9"/>
  <c r="AM58" i="9"/>
  <c r="AM59" i="9"/>
  <c r="AM60" i="9"/>
  <c r="AM61" i="9"/>
  <c r="AM62" i="9"/>
  <c r="AM63" i="9"/>
  <c r="AM64" i="9"/>
  <c r="AM65" i="9"/>
  <c r="AM66" i="9"/>
  <c r="AM67" i="9"/>
  <c r="AM68" i="9"/>
  <c r="AM69" i="9"/>
  <c r="AM70" i="9"/>
  <c r="AM71" i="9"/>
  <c r="AM72" i="9"/>
  <c r="AM73" i="9"/>
  <c r="AM74" i="9"/>
  <c r="AM75" i="9"/>
  <c r="AM76" i="9"/>
  <c r="AM77" i="9"/>
  <c r="AM78" i="9"/>
  <c r="AM79" i="9"/>
  <c r="AM80" i="9"/>
  <c r="AM81" i="9"/>
  <c r="AM82" i="9"/>
  <c r="AM83" i="9"/>
  <c r="AM84" i="9"/>
  <c r="AM4" i="9"/>
  <c r="AF5" i="8"/>
  <c r="AI5" i="8"/>
  <c r="AF6" i="8"/>
  <c r="AI6" i="8"/>
  <c r="AF7" i="8"/>
  <c r="AI7" i="8"/>
  <c r="AF8" i="8"/>
  <c r="AI8" i="8"/>
  <c r="AF9" i="8"/>
  <c r="AI9" i="8"/>
  <c r="AF10" i="8"/>
  <c r="AI10" i="8"/>
  <c r="AF11" i="8"/>
  <c r="AI11" i="8"/>
  <c r="AF12" i="8"/>
  <c r="AI12" i="8"/>
  <c r="AF13" i="8"/>
  <c r="AI13" i="8"/>
  <c r="AF14" i="8"/>
  <c r="AI14" i="8"/>
  <c r="AF15" i="8"/>
  <c r="AI15" i="8"/>
  <c r="AF16" i="8"/>
  <c r="AI16" i="8"/>
  <c r="AF17" i="8"/>
  <c r="AI17" i="8"/>
  <c r="AF18" i="8"/>
  <c r="AI18" i="8"/>
  <c r="AF19" i="8"/>
  <c r="AI19" i="8"/>
  <c r="AF20" i="8"/>
  <c r="AI20" i="8"/>
  <c r="AF21" i="8"/>
  <c r="AI21" i="8"/>
  <c r="AF22" i="8"/>
  <c r="AI22" i="8"/>
  <c r="AF23" i="8"/>
  <c r="AI23" i="8"/>
  <c r="AF24" i="8"/>
  <c r="AI24" i="8"/>
  <c r="AF25" i="8"/>
  <c r="AI25" i="8"/>
  <c r="AF26" i="8"/>
  <c r="AI26" i="8"/>
  <c r="AF27" i="8"/>
  <c r="AI27" i="8"/>
  <c r="AF28" i="8"/>
  <c r="AI28" i="8"/>
  <c r="AF29" i="8"/>
  <c r="AI29" i="8"/>
  <c r="AF30" i="8"/>
  <c r="AI30" i="8"/>
  <c r="AF31" i="8"/>
  <c r="AI31" i="8"/>
  <c r="AF32" i="8"/>
  <c r="AI32" i="8"/>
  <c r="AF33" i="8"/>
  <c r="AI33" i="8"/>
  <c r="AF34" i="8"/>
  <c r="AI34" i="8"/>
  <c r="AF35" i="8"/>
  <c r="AI35" i="8"/>
  <c r="AF36" i="8"/>
  <c r="AI36" i="8"/>
  <c r="AF37" i="8"/>
  <c r="AI37" i="8"/>
  <c r="AF38" i="8"/>
  <c r="AI38" i="8"/>
  <c r="AF39" i="8"/>
  <c r="AI39" i="8"/>
  <c r="AF40" i="8"/>
  <c r="AI40" i="8"/>
  <c r="AF41" i="8"/>
  <c r="AI41" i="8"/>
  <c r="AF42" i="8"/>
  <c r="AI42" i="8"/>
  <c r="AF43" i="8"/>
  <c r="AI43" i="8"/>
  <c r="AF44" i="8"/>
  <c r="AI44" i="8"/>
  <c r="AF45" i="8"/>
  <c r="AI45" i="8"/>
  <c r="AF46" i="8"/>
  <c r="AI46" i="8"/>
  <c r="AF47" i="8"/>
  <c r="AI47" i="8"/>
  <c r="AF48" i="8"/>
  <c r="AI48" i="8"/>
  <c r="AF49" i="8"/>
  <c r="AI49" i="8"/>
  <c r="AF50" i="8"/>
  <c r="AI50" i="8"/>
  <c r="AF51" i="8"/>
  <c r="AI51" i="8"/>
  <c r="AF52" i="8"/>
  <c r="AI52" i="8"/>
  <c r="AF53" i="8"/>
  <c r="AI53" i="8"/>
  <c r="AF54" i="8"/>
  <c r="AI54" i="8"/>
  <c r="AF55" i="8"/>
  <c r="AI55" i="8"/>
  <c r="AF56" i="8"/>
  <c r="AI56" i="8"/>
  <c r="AF57" i="8"/>
  <c r="AI57" i="8"/>
  <c r="AF58" i="8"/>
  <c r="AI58" i="8"/>
  <c r="AF59" i="8"/>
  <c r="AI59" i="8"/>
  <c r="AF60" i="8"/>
  <c r="AI60" i="8"/>
  <c r="AF61" i="8"/>
  <c r="AI61" i="8"/>
  <c r="AF62" i="8"/>
  <c r="AI62" i="8"/>
  <c r="AF63" i="8"/>
  <c r="AI63" i="8"/>
  <c r="AF64" i="8"/>
  <c r="AI64" i="8"/>
  <c r="AF65" i="8"/>
  <c r="AI65" i="8"/>
  <c r="AF66" i="8"/>
  <c r="AI66" i="8"/>
  <c r="AF67" i="8"/>
  <c r="AI67" i="8"/>
  <c r="AF68" i="8"/>
  <c r="AI68" i="8"/>
  <c r="AF69" i="8"/>
  <c r="AI69" i="8"/>
  <c r="AF70" i="8"/>
  <c r="AI70" i="8"/>
  <c r="AF71" i="8"/>
  <c r="AI71" i="8"/>
  <c r="AF72" i="8"/>
  <c r="AI72" i="8"/>
  <c r="AF73" i="8"/>
  <c r="AI73" i="8"/>
  <c r="AF74" i="8"/>
  <c r="AI74" i="8"/>
  <c r="AF75" i="8"/>
  <c r="AI75" i="8"/>
  <c r="AF76" i="8"/>
  <c r="AI76" i="8"/>
  <c r="AF77" i="8"/>
  <c r="AI77" i="8"/>
  <c r="AF78" i="8"/>
  <c r="AI78" i="8"/>
  <c r="AF79" i="8"/>
  <c r="AI79" i="8"/>
  <c r="AF80" i="8"/>
  <c r="AI80" i="8"/>
  <c r="AF81" i="8"/>
  <c r="AI81" i="8"/>
  <c r="AF82" i="8"/>
  <c r="AI82" i="8"/>
  <c r="AF83" i="8"/>
  <c r="AI83" i="8"/>
  <c r="AF84" i="8"/>
  <c r="AI84" i="8"/>
  <c r="AI4" i="8"/>
  <c r="AF4" i="8"/>
  <c r="AA39" i="9"/>
  <c r="AB39" i="9"/>
  <c r="AC39" i="9"/>
  <c r="AD39" i="9"/>
  <c r="AA40" i="9"/>
  <c r="AB40" i="9"/>
  <c r="AC40" i="9"/>
  <c r="AD40" i="9"/>
  <c r="AA41" i="9"/>
  <c r="AB41" i="9"/>
  <c r="AC41" i="9"/>
  <c r="AD41" i="9"/>
  <c r="AA42" i="9"/>
  <c r="AB42" i="9"/>
  <c r="AC42" i="9"/>
  <c r="AD42" i="9"/>
  <c r="AA43" i="9"/>
  <c r="AB43" i="9"/>
  <c r="AC43" i="9"/>
  <c r="AD43" i="9"/>
  <c r="AA44" i="9"/>
  <c r="AB44" i="9"/>
  <c r="AC44" i="9"/>
  <c r="AD44" i="9"/>
  <c r="AA45" i="9"/>
  <c r="AB45" i="9"/>
  <c r="AC45" i="9"/>
  <c r="AD45" i="9"/>
  <c r="AA46" i="9"/>
  <c r="AB46" i="9"/>
  <c r="AC46" i="9"/>
  <c r="AD46" i="9"/>
  <c r="AA47" i="9"/>
  <c r="AB47" i="9"/>
  <c r="AC47" i="9"/>
  <c r="AD47" i="9"/>
  <c r="AA48" i="9"/>
  <c r="AB48" i="9"/>
  <c r="AC48" i="9"/>
  <c r="AD48" i="9"/>
  <c r="AA49" i="9"/>
  <c r="AB49" i="9"/>
  <c r="AC49" i="9"/>
  <c r="AD49" i="9"/>
  <c r="AA50" i="9"/>
  <c r="AB50" i="9"/>
  <c r="AC50" i="9"/>
  <c r="AD50" i="9"/>
  <c r="AA51" i="9"/>
  <c r="AB51" i="9"/>
  <c r="AC51" i="9"/>
  <c r="AD51" i="9"/>
  <c r="AA52" i="9"/>
  <c r="AB52" i="9"/>
  <c r="AC52" i="9"/>
  <c r="AD52" i="9"/>
  <c r="AA53" i="9"/>
  <c r="AB53" i="9"/>
  <c r="AC53" i="9"/>
  <c r="AD53" i="9"/>
  <c r="AA54" i="9"/>
  <c r="AB54" i="9"/>
  <c r="AC54" i="9"/>
  <c r="AD54" i="9"/>
  <c r="AA55" i="9"/>
  <c r="AB55" i="9"/>
  <c r="AC55" i="9"/>
  <c r="AD55" i="9"/>
  <c r="AA56" i="9"/>
  <c r="AB56" i="9"/>
  <c r="AC56" i="9"/>
  <c r="AD56" i="9"/>
  <c r="AA57" i="9"/>
  <c r="AB57" i="9"/>
  <c r="AC57" i="9"/>
  <c r="AD57" i="9"/>
  <c r="AA58" i="9"/>
  <c r="AB58" i="9"/>
  <c r="AC58" i="9"/>
  <c r="AD58" i="9"/>
  <c r="AA59" i="9"/>
  <c r="AB59" i="9"/>
  <c r="AC59" i="9"/>
  <c r="AD59" i="9"/>
  <c r="AA60" i="9"/>
  <c r="AB60" i="9"/>
  <c r="AC60" i="9"/>
  <c r="AD60" i="9"/>
  <c r="AA61" i="9"/>
  <c r="AB61" i="9"/>
  <c r="AC61" i="9"/>
  <c r="AD61" i="9"/>
  <c r="AA62" i="9"/>
  <c r="AB62" i="9"/>
  <c r="AC62" i="9"/>
  <c r="AD62" i="9"/>
  <c r="AA63" i="9"/>
  <c r="AB63" i="9"/>
  <c r="AC63" i="9"/>
  <c r="AD63" i="9"/>
  <c r="AA64" i="9"/>
  <c r="AB64" i="9"/>
  <c r="AC64" i="9"/>
  <c r="AD64" i="9"/>
  <c r="AA65" i="9"/>
  <c r="AB65" i="9"/>
  <c r="AC65" i="9"/>
  <c r="AD65" i="9"/>
  <c r="AA66" i="9"/>
  <c r="AB66" i="9"/>
  <c r="AC66" i="9"/>
  <c r="AD66" i="9"/>
  <c r="AA67" i="9"/>
  <c r="AB67" i="9"/>
  <c r="AC67" i="9"/>
  <c r="AD67" i="9"/>
  <c r="AA68" i="9"/>
  <c r="AB68" i="9"/>
  <c r="AC68" i="9"/>
  <c r="AD68" i="9"/>
  <c r="AA69" i="9"/>
  <c r="AB69" i="9"/>
  <c r="AC69" i="9"/>
  <c r="AD69" i="9"/>
  <c r="AA70" i="9"/>
  <c r="AB70" i="9"/>
  <c r="AC70" i="9"/>
  <c r="AD70" i="9"/>
  <c r="AA71" i="9"/>
  <c r="AB71" i="9"/>
  <c r="AC71" i="9"/>
  <c r="AD71" i="9"/>
  <c r="AA72" i="9"/>
  <c r="AB72" i="9"/>
  <c r="AC72" i="9"/>
  <c r="AD72" i="9"/>
  <c r="AA73" i="9"/>
  <c r="AB73" i="9"/>
  <c r="AC73" i="9"/>
  <c r="AD73" i="9"/>
  <c r="AA74" i="9"/>
  <c r="AB74" i="9"/>
  <c r="AC74" i="9"/>
  <c r="AD74" i="9"/>
  <c r="AA75" i="9"/>
  <c r="AB75" i="9"/>
  <c r="AC75" i="9"/>
  <c r="AD75" i="9"/>
  <c r="AA76" i="9"/>
  <c r="AB76" i="9"/>
  <c r="AC76" i="9"/>
  <c r="AD76" i="9"/>
  <c r="AA77" i="9"/>
  <c r="AB77" i="9"/>
  <c r="AC77" i="9"/>
  <c r="AD77" i="9"/>
  <c r="AA78" i="9"/>
  <c r="AB78" i="9"/>
  <c r="AC78" i="9"/>
  <c r="AD78" i="9"/>
  <c r="AA79" i="9"/>
  <c r="AB79" i="9"/>
  <c r="AC79" i="9"/>
  <c r="AD79" i="9"/>
  <c r="AA80" i="9"/>
  <c r="AB80" i="9"/>
  <c r="AC80" i="9"/>
  <c r="AD80" i="9"/>
  <c r="AA81" i="9"/>
  <c r="AB81" i="9"/>
  <c r="AC81" i="9"/>
  <c r="AD81" i="9"/>
  <c r="AA82" i="9"/>
  <c r="AB82" i="9"/>
  <c r="AC82" i="9"/>
  <c r="AD82" i="9"/>
  <c r="AA83" i="9"/>
  <c r="AB83" i="9"/>
  <c r="AC83" i="9"/>
  <c r="AD83" i="9"/>
  <c r="AA84" i="9"/>
  <c r="AB84" i="9"/>
  <c r="AC84" i="9"/>
  <c r="AD84" i="9"/>
  <c r="AA5" i="9"/>
  <c r="AB5" i="9"/>
  <c r="AC5" i="9"/>
  <c r="AD5" i="9"/>
  <c r="AA6" i="9"/>
  <c r="AB6" i="9"/>
  <c r="AC6" i="9"/>
  <c r="AD6" i="9"/>
  <c r="AA7" i="9"/>
  <c r="AB7" i="9"/>
  <c r="AC7" i="9"/>
  <c r="AD7" i="9"/>
  <c r="AA8" i="9"/>
  <c r="AB8" i="9"/>
  <c r="AC8" i="9"/>
  <c r="AD8" i="9"/>
  <c r="AA9" i="9"/>
  <c r="AB9" i="9"/>
  <c r="AC9" i="9"/>
  <c r="AD9" i="9"/>
  <c r="AA10" i="9"/>
  <c r="AB10" i="9"/>
  <c r="AC10" i="9"/>
  <c r="AD10" i="9"/>
  <c r="AA11" i="9"/>
  <c r="AB11" i="9"/>
  <c r="AC11" i="9"/>
  <c r="AD11" i="9"/>
  <c r="AA12" i="9"/>
  <c r="AB12" i="9"/>
  <c r="AC12" i="9"/>
  <c r="AD12" i="9"/>
  <c r="AA13" i="9"/>
  <c r="AB13" i="9"/>
  <c r="AC13" i="9"/>
  <c r="AD13" i="9"/>
  <c r="AA14" i="9"/>
  <c r="AB14" i="9"/>
  <c r="AC14" i="9"/>
  <c r="AD14" i="9"/>
  <c r="AA15" i="9"/>
  <c r="AB15" i="9"/>
  <c r="AC15" i="9"/>
  <c r="AD15" i="9"/>
  <c r="AA16" i="9"/>
  <c r="AB16" i="9"/>
  <c r="AC16" i="9"/>
  <c r="AD16" i="9"/>
  <c r="AA17" i="9"/>
  <c r="AB17" i="9"/>
  <c r="AC17" i="9"/>
  <c r="AD17" i="9"/>
  <c r="AA18" i="9"/>
  <c r="AB18" i="9"/>
  <c r="AC18" i="9"/>
  <c r="AD18" i="9"/>
  <c r="AA19" i="9"/>
  <c r="AB19" i="9"/>
  <c r="AC19" i="9"/>
  <c r="AD19" i="9"/>
  <c r="AA20" i="9"/>
  <c r="AB20" i="9"/>
  <c r="AC20" i="9"/>
  <c r="AD20" i="9"/>
  <c r="AA21" i="9"/>
  <c r="AB21" i="9"/>
  <c r="AC21" i="9"/>
  <c r="AD21" i="9"/>
  <c r="AA22" i="9"/>
  <c r="AB22" i="9"/>
  <c r="AC22" i="9"/>
  <c r="AD22" i="9"/>
  <c r="AA23" i="9"/>
  <c r="AB23" i="9"/>
  <c r="AC23" i="9"/>
  <c r="AD23" i="9"/>
  <c r="AA24" i="9"/>
  <c r="AB24" i="9"/>
  <c r="AC24" i="9"/>
  <c r="AD24" i="9"/>
  <c r="AA25" i="9"/>
  <c r="AB25" i="9"/>
  <c r="AC25" i="9"/>
  <c r="AD25" i="9"/>
  <c r="AA26" i="9"/>
  <c r="AB26" i="9"/>
  <c r="AC26" i="9"/>
  <c r="AD26" i="9"/>
  <c r="AA27" i="9"/>
  <c r="AB27" i="9"/>
  <c r="AC27" i="9"/>
  <c r="AD27" i="9"/>
  <c r="AA28" i="9"/>
  <c r="AB28" i="9"/>
  <c r="AC28" i="9"/>
  <c r="AD28" i="9"/>
  <c r="AA29" i="9"/>
  <c r="AB29" i="9"/>
  <c r="AC29" i="9"/>
  <c r="AD29" i="9"/>
  <c r="AA30" i="9"/>
  <c r="AB30" i="9"/>
  <c r="AC30" i="9"/>
  <c r="AD30" i="9"/>
  <c r="AA31" i="9"/>
  <c r="AB31" i="9"/>
  <c r="AC31" i="9"/>
  <c r="AD31" i="9"/>
  <c r="AA32" i="9"/>
  <c r="AB32" i="9"/>
  <c r="AC32" i="9"/>
  <c r="AD32" i="9"/>
  <c r="AA33" i="9"/>
  <c r="AB33" i="9"/>
  <c r="AC33" i="9"/>
  <c r="AD33" i="9"/>
  <c r="AA34" i="9"/>
  <c r="AB34" i="9"/>
  <c r="AC34" i="9"/>
  <c r="AD34" i="9"/>
  <c r="AA35" i="9"/>
  <c r="AB35" i="9"/>
  <c r="AC35" i="9"/>
  <c r="AD35" i="9"/>
  <c r="AA36" i="9"/>
  <c r="AB36" i="9"/>
  <c r="AC36" i="9"/>
  <c r="AD36" i="9"/>
  <c r="AA37" i="9"/>
  <c r="AB37" i="9"/>
  <c r="AC37" i="9"/>
  <c r="AD37" i="9"/>
  <c r="AA38" i="9"/>
  <c r="AB38" i="9"/>
  <c r="AC38" i="9"/>
  <c r="AD38" i="9"/>
  <c r="AD4" i="9"/>
  <c r="AC4" i="9"/>
  <c r="AB4" i="9"/>
  <c r="AA4" i="9"/>
  <c r="X5" i="8"/>
  <c r="Y5" i="8"/>
  <c r="Z5" i="8"/>
  <c r="AA5" i="8"/>
  <c r="AB5" i="8"/>
  <c r="AC5" i="8"/>
  <c r="X6" i="8"/>
  <c r="Y6" i="8"/>
  <c r="Z6" i="8"/>
  <c r="AA6" i="8"/>
  <c r="AB6" i="8"/>
  <c r="AC6" i="8"/>
  <c r="X7" i="8"/>
  <c r="Y7" i="8"/>
  <c r="Z7" i="8"/>
  <c r="AA7" i="8"/>
  <c r="AB7" i="8"/>
  <c r="AC7" i="8"/>
  <c r="X8" i="8"/>
  <c r="Y8" i="8"/>
  <c r="Z8" i="8"/>
  <c r="AA8" i="8"/>
  <c r="AB8" i="8"/>
  <c r="AC8" i="8"/>
  <c r="X9" i="8"/>
  <c r="Y9" i="8"/>
  <c r="Z9" i="8"/>
  <c r="AA9" i="8"/>
  <c r="AB9" i="8"/>
  <c r="AC9" i="8"/>
  <c r="X10" i="8"/>
  <c r="Y10" i="8"/>
  <c r="Z10" i="8"/>
  <c r="AA10" i="8"/>
  <c r="AB10" i="8"/>
  <c r="AC10" i="8"/>
  <c r="X11" i="8"/>
  <c r="Y11" i="8"/>
  <c r="Z11" i="8"/>
  <c r="AA11" i="8"/>
  <c r="AB11" i="8"/>
  <c r="AC11" i="8"/>
  <c r="X12" i="8"/>
  <c r="Y12" i="8"/>
  <c r="Z12" i="8"/>
  <c r="AA12" i="8"/>
  <c r="AB12" i="8"/>
  <c r="AC12" i="8"/>
  <c r="X13" i="8"/>
  <c r="Y13" i="8"/>
  <c r="Z13" i="8"/>
  <c r="AA13" i="8"/>
  <c r="AB13" i="8"/>
  <c r="AC13" i="8"/>
  <c r="X14" i="8"/>
  <c r="Y14" i="8"/>
  <c r="Z14" i="8"/>
  <c r="AA14" i="8"/>
  <c r="AB14" i="8"/>
  <c r="AC14" i="8"/>
  <c r="X15" i="8"/>
  <c r="Y15" i="8"/>
  <c r="Z15" i="8"/>
  <c r="AA15" i="8"/>
  <c r="AB15" i="8"/>
  <c r="AC15" i="8"/>
  <c r="X16" i="8"/>
  <c r="Y16" i="8"/>
  <c r="Z16" i="8"/>
  <c r="AA16" i="8"/>
  <c r="AB16" i="8"/>
  <c r="AC16" i="8"/>
  <c r="X17" i="8"/>
  <c r="Y17" i="8"/>
  <c r="Z17" i="8"/>
  <c r="AA17" i="8"/>
  <c r="AB17" i="8"/>
  <c r="AC17" i="8"/>
  <c r="X18" i="8"/>
  <c r="Y18" i="8"/>
  <c r="Z18" i="8"/>
  <c r="AA18" i="8"/>
  <c r="AB18" i="8"/>
  <c r="AC18" i="8"/>
  <c r="X19" i="8"/>
  <c r="Y19" i="8"/>
  <c r="Z19" i="8"/>
  <c r="AA19" i="8"/>
  <c r="AB19" i="8"/>
  <c r="AC19" i="8"/>
  <c r="X20" i="8"/>
  <c r="Y20" i="8"/>
  <c r="Z20" i="8"/>
  <c r="AA20" i="8"/>
  <c r="AB20" i="8"/>
  <c r="AC20" i="8"/>
  <c r="X21" i="8"/>
  <c r="Y21" i="8"/>
  <c r="Z21" i="8"/>
  <c r="AA21" i="8"/>
  <c r="AB21" i="8"/>
  <c r="AC21" i="8"/>
  <c r="X22" i="8"/>
  <c r="Y22" i="8"/>
  <c r="Z22" i="8"/>
  <c r="AA22" i="8"/>
  <c r="AB22" i="8"/>
  <c r="AC22" i="8"/>
  <c r="X23" i="8"/>
  <c r="Y23" i="8"/>
  <c r="Z23" i="8"/>
  <c r="AA23" i="8"/>
  <c r="AB23" i="8"/>
  <c r="AC23" i="8"/>
  <c r="X24" i="8"/>
  <c r="Y24" i="8"/>
  <c r="Z24" i="8"/>
  <c r="AA24" i="8"/>
  <c r="AB24" i="8"/>
  <c r="AC24" i="8"/>
  <c r="X25" i="8"/>
  <c r="Y25" i="8"/>
  <c r="Z25" i="8"/>
  <c r="AA25" i="8"/>
  <c r="AB25" i="8"/>
  <c r="AC25" i="8"/>
  <c r="X26" i="8"/>
  <c r="Y26" i="8"/>
  <c r="Z26" i="8"/>
  <c r="AA26" i="8"/>
  <c r="AB26" i="8"/>
  <c r="AC26" i="8"/>
  <c r="X27" i="8"/>
  <c r="Y27" i="8"/>
  <c r="Z27" i="8"/>
  <c r="AA27" i="8"/>
  <c r="AB27" i="8"/>
  <c r="AC27" i="8"/>
  <c r="X28" i="8"/>
  <c r="Y28" i="8"/>
  <c r="Z28" i="8"/>
  <c r="AA28" i="8"/>
  <c r="AB28" i="8"/>
  <c r="AC28" i="8"/>
  <c r="X29" i="8"/>
  <c r="Y29" i="8"/>
  <c r="Z29" i="8"/>
  <c r="AA29" i="8"/>
  <c r="AB29" i="8"/>
  <c r="AC29" i="8"/>
  <c r="X30" i="8"/>
  <c r="Y30" i="8"/>
  <c r="Z30" i="8"/>
  <c r="AA30" i="8"/>
  <c r="AB30" i="8"/>
  <c r="AC30" i="8"/>
  <c r="X31" i="8"/>
  <c r="Y31" i="8"/>
  <c r="Z31" i="8"/>
  <c r="AA31" i="8"/>
  <c r="AB31" i="8"/>
  <c r="AC31" i="8"/>
  <c r="X32" i="8"/>
  <c r="Y32" i="8"/>
  <c r="Z32" i="8"/>
  <c r="AA32" i="8"/>
  <c r="AB32" i="8"/>
  <c r="AC32" i="8"/>
  <c r="X33" i="8"/>
  <c r="Y33" i="8"/>
  <c r="Z33" i="8"/>
  <c r="AA33" i="8"/>
  <c r="AB33" i="8"/>
  <c r="AC33" i="8"/>
  <c r="X34" i="8"/>
  <c r="Y34" i="8"/>
  <c r="Z34" i="8"/>
  <c r="AA34" i="8"/>
  <c r="AB34" i="8"/>
  <c r="AC34" i="8"/>
  <c r="X35" i="8"/>
  <c r="Y35" i="8"/>
  <c r="Z35" i="8"/>
  <c r="AA35" i="8"/>
  <c r="AB35" i="8"/>
  <c r="AC35" i="8"/>
  <c r="X36" i="8"/>
  <c r="Y36" i="8"/>
  <c r="Z36" i="8"/>
  <c r="AA36" i="8"/>
  <c r="AB36" i="8"/>
  <c r="AC36" i="8"/>
  <c r="X37" i="8"/>
  <c r="Y37" i="8"/>
  <c r="Z37" i="8"/>
  <c r="AA37" i="8"/>
  <c r="AB37" i="8"/>
  <c r="AC37" i="8"/>
  <c r="X38" i="8"/>
  <c r="Y38" i="8"/>
  <c r="Z38" i="8"/>
  <c r="AA38" i="8"/>
  <c r="AB38" i="8"/>
  <c r="AC38" i="8"/>
  <c r="X39" i="8"/>
  <c r="Y39" i="8"/>
  <c r="Z39" i="8"/>
  <c r="AA39" i="8"/>
  <c r="AB39" i="8"/>
  <c r="AC39" i="8"/>
  <c r="X40" i="8"/>
  <c r="Y40" i="8"/>
  <c r="Z40" i="8"/>
  <c r="AA40" i="8"/>
  <c r="AB40" i="8"/>
  <c r="AC40" i="8"/>
  <c r="X41" i="8"/>
  <c r="Y41" i="8"/>
  <c r="Z41" i="8"/>
  <c r="AA41" i="8"/>
  <c r="AB41" i="8"/>
  <c r="AC41" i="8"/>
  <c r="X42" i="8"/>
  <c r="Y42" i="8"/>
  <c r="Z42" i="8"/>
  <c r="AA42" i="8"/>
  <c r="AB42" i="8"/>
  <c r="AC42" i="8"/>
  <c r="X43" i="8"/>
  <c r="Y43" i="8"/>
  <c r="Z43" i="8"/>
  <c r="AA43" i="8"/>
  <c r="AB43" i="8"/>
  <c r="AC43" i="8"/>
  <c r="X44" i="8"/>
  <c r="Y44" i="8"/>
  <c r="Z44" i="8"/>
  <c r="AA44" i="8"/>
  <c r="AB44" i="8"/>
  <c r="AC44" i="8"/>
  <c r="X45" i="8"/>
  <c r="Y45" i="8"/>
  <c r="Z45" i="8"/>
  <c r="AA45" i="8"/>
  <c r="AB45" i="8"/>
  <c r="AC45" i="8"/>
  <c r="X46" i="8"/>
  <c r="Y46" i="8"/>
  <c r="Z46" i="8"/>
  <c r="AA46" i="8"/>
  <c r="AB46" i="8"/>
  <c r="AC46" i="8"/>
  <c r="X47" i="8"/>
  <c r="Y47" i="8"/>
  <c r="Z47" i="8"/>
  <c r="AA47" i="8"/>
  <c r="AB47" i="8"/>
  <c r="AC47" i="8"/>
  <c r="X48" i="8"/>
  <c r="Y48" i="8"/>
  <c r="Z48" i="8"/>
  <c r="AA48" i="8"/>
  <c r="AB48" i="8"/>
  <c r="AC48" i="8"/>
  <c r="X49" i="8"/>
  <c r="Y49" i="8"/>
  <c r="Z49" i="8"/>
  <c r="AA49" i="8"/>
  <c r="AB49" i="8"/>
  <c r="AC49" i="8"/>
  <c r="X50" i="8"/>
  <c r="Y50" i="8"/>
  <c r="Z50" i="8"/>
  <c r="AA50" i="8"/>
  <c r="AB50" i="8"/>
  <c r="AC50" i="8"/>
  <c r="X51" i="8"/>
  <c r="Y51" i="8"/>
  <c r="Z51" i="8"/>
  <c r="AA51" i="8"/>
  <c r="AB51" i="8"/>
  <c r="AC51" i="8"/>
  <c r="X52" i="8"/>
  <c r="Y52" i="8"/>
  <c r="Z52" i="8"/>
  <c r="AA52" i="8"/>
  <c r="AB52" i="8"/>
  <c r="AC52" i="8"/>
  <c r="X53" i="8"/>
  <c r="Y53" i="8"/>
  <c r="Z53" i="8"/>
  <c r="AA53" i="8"/>
  <c r="AB53" i="8"/>
  <c r="AC53" i="8"/>
  <c r="X54" i="8"/>
  <c r="Y54" i="8"/>
  <c r="Z54" i="8"/>
  <c r="AA54" i="8"/>
  <c r="AB54" i="8"/>
  <c r="AC54" i="8"/>
  <c r="X55" i="8"/>
  <c r="Y55" i="8"/>
  <c r="Z55" i="8"/>
  <c r="AA55" i="8"/>
  <c r="AB55" i="8"/>
  <c r="AC55" i="8"/>
  <c r="X56" i="8"/>
  <c r="Y56" i="8"/>
  <c r="Z56" i="8"/>
  <c r="AA56" i="8"/>
  <c r="AB56" i="8"/>
  <c r="AC56" i="8"/>
  <c r="X57" i="8"/>
  <c r="Y57" i="8"/>
  <c r="Z57" i="8"/>
  <c r="AA57" i="8"/>
  <c r="AB57" i="8"/>
  <c r="AC57" i="8"/>
  <c r="X58" i="8"/>
  <c r="Y58" i="8"/>
  <c r="Z58" i="8"/>
  <c r="AA58" i="8"/>
  <c r="AB58" i="8"/>
  <c r="AC58" i="8"/>
  <c r="X59" i="8"/>
  <c r="Y59" i="8"/>
  <c r="Z59" i="8"/>
  <c r="AA59" i="8"/>
  <c r="AB59" i="8"/>
  <c r="AC59" i="8"/>
  <c r="X60" i="8"/>
  <c r="Y60" i="8"/>
  <c r="Z60" i="8"/>
  <c r="AA60" i="8"/>
  <c r="AB60" i="8"/>
  <c r="AC60" i="8"/>
  <c r="X61" i="8"/>
  <c r="Y61" i="8"/>
  <c r="Z61" i="8"/>
  <c r="AA61" i="8"/>
  <c r="AB61" i="8"/>
  <c r="AC61" i="8"/>
  <c r="X62" i="8"/>
  <c r="Y62" i="8"/>
  <c r="Z62" i="8"/>
  <c r="AA62" i="8"/>
  <c r="AB62" i="8"/>
  <c r="AC62" i="8"/>
  <c r="X63" i="8"/>
  <c r="Y63" i="8"/>
  <c r="Z63" i="8"/>
  <c r="AA63" i="8"/>
  <c r="AB63" i="8"/>
  <c r="AC63" i="8"/>
  <c r="X64" i="8"/>
  <c r="Y64" i="8"/>
  <c r="Z64" i="8"/>
  <c r="AA64" i="8"/>
  <c r="AB64" i="8"/>
  <c r="AC64" i="8"/>
  <c r="X65" i="8"/>
  <c r="Y65" i="8"/>
  <c r="Z65" i="8"/>
  <c r="AA65" i="8"/>
  <c r="AB65" i="8"/>
  <c r="AC65" i="8"/>
  <c r="X66" i="8"/>
  <c r="Y66" i="8"/>
  <c r="Z66" i="8"/>
  <c r="AA66" i="8"/>
  <c r="AB66" i="8"/>
  <c r="AC66" i="8"/>
  <c r="X67" i="8"/>
  <c r="Y67" i="8"/>
  <c r="Z67" i="8"/>
  <c r="AA67" i="8"/>
  <c r="AB67" i="8"/>
  <c r="AC67" i="8"/>
  <c r="X68" i="8"/>
  <c r="Y68" i="8"/>
  <c r="Z68" i="8"/>
  <c r="AA68" i="8"/>
  <c r="AB68" i="8"/>
  <c r="AC68" i="8"/>
  <c r="X69" i="8"/>
  <c r="Y69" i="8"/>
  <c r="Z69" i="8"/>
  <c r="AA69" i="8"/>
  <c r="AB69" i="8"/>
  <c r="AC69" i="8"/>
  <c r="X70" i="8"/>
  <c r="Y70" i="8"/>
  <c r="Z70" i="8"/>
  <c r="AA70" i="8"/>
  <c r="AB70" i="8"/>
  <c r="AC70" i="8"/>
  <c r="X71" i="8"/>
  <c r="Y71" i="8"/>
  <c r="Z71" i="8"/>
  <c r="AA71" i="8"/>
  <c r="AB71" i="8"/>
  <c r="AC71" i="8"/>
  <c r="X72" i="8"/>
  <c r="Y72" i="8"/>
  <c r="Z72" i="8"/>
  <c r="AA72" i="8"/>
  <c r="AB72" i="8"/>
  <c r="AC72" i="8"/>
  <c r="X73" i="8"/>
  <c r="Y73" i="8"/>
  <c r="Z73" i="8"/>
  <c r="AA73" i="8"/>
  <c r="AB73" i="8"/>
  <c r="AC73" i="8"/>
  <c r="X74" i="8"/>
  <c r="Y74" i="8"/>
  <c r="Z74" i="8"/>
  <c r="AA74" i="8"/>
  <c r="AB74" i="8"/>
  <c r="AC74" i="8"/>
  <c r="X75" i="8"/>
  <c r="Y75" i="8"/>
  <c r="Z75" i="8"/>
  <c r="AA75" i="8"/>
  <c r="AB75" i="8"/>
  <c r="AC75" i="8"/>
  <c r="X76" i="8"/>
  <c r="Y76" i="8"/>
  <c r="Z76" i="8"/>
  <c r="AA76" i="8"/>
  <c r="AB76" i="8"/>
  <c r="AC76" i="8"/>
  <c r="X77" i="8"/>
  <c r="Y77" i="8"/>
  <c r="Z77" i="8"/>
  <c r="AA77" i="8"/>
  <c r="AB77" i="8"/>
  <c r="AC77" i="8"/>
  <c r="X78" i="8"/>
  <c r="Y78" i="8"/>
  <c r="Z78" i="8"/>
  <c r="AA78" i="8"/>
  <c r="AB78" i="8"/>
  <c r="AC78" i="8"/>
  <c r="X79" i="8"/>
  <c r="Y79" i="8"/>
  <c r="Z79" i="8"/>
  <c r="AA79" i="8"/>
  <c r="AB79" i="8"/>
  <c r="AC79" i="8"/>
  <c r="X80" i="8"/>
  <c r="Y80" i="8"/>
  <c r="Z80" i="8"/>
  <c r="AA80" i="8"/>
  <c r="AB80" i="8"/>
  <c r="AC80" i="8"/>
  <c r="X81" i="8"/>
  <c r="Y81" i="8"/>
  <c r="Z81" i="8"/>
  <c r="AA81" i="8"/>
  <c r="AB81" i="8"/>
  <c r="AC81" i="8"/>
  <c r="X82" i="8"/>
  <c r="Y82" i="8"/>
  <c r="Z82" i="8"/>
  <c r="AA82" i="8"/>
  <c r="AB82" i="8"/>
  <c r="AC82" i="8"/>
  <c r="X83" i="8"/>
  <c r="Y83" i="8"/>
  <c r="Z83" i="8"/>
  <c r="AA83" i="8"/>
  <c r="AB83" i="8"/>
  <c r="AC83" i="8"/>
  <c r="X84" i="8"/>
  <c r="Y84" i="8"/>
  <c r="Z84" i="8"/>
  <c r="AA84" i="8"/>
  <c r="AB84" i="8"/>
  <c r="AC84" i="8"/>
  <c r="Z4" i="8"/>
  <c r="Y4" i="8"/>
  <c r="X4" i="8"/>
  <c r="AB4" i="8" s="1"/>
  <c r="AA4" i="8"/>
  <c r="AC4" i="8" s="1"/>
  <c r="Q5" i="9"/>
  <c r="V5" i="9"/>
  <c r="Q6" i="9"/>
  <c r="V6" i="9"/>
  <c r="Q7" i="9"/>
  <c r="V7" i="9"/>
  <c r="Q8" i="9"/>
  <c r="V8" i="9"/>
  <c r="Q9" i="9"/>
  <c r="V9" i="9"/>
  <c r="Q10" i="9"/>
  <c r="V10" i="9"/>
  <c r="Q11" i="9"/>
  <c r="V11" i="9"/>
  <c r="Q12" i="9"/>
  <c r="V12" i="9"/>
  <c r="Q13" i="9"/>
  <c r="V13" i="9"/>
  <c r="Q14" i="9"/>
  <c r="V14" i="9"/>
  <c r="Q15" i="9"/>
  <c r="V15" i="9"/>
  <c r="Q16" i="9"/>
  <c r="V16" i="9"/>
  <c r="Q17" i="9"/>
  <c r="V17" i="9"/>
  <c r="Q18" i="9"/>
  <c r="V18" i="9"/>
  <c r="Q19" i="9"/>
  <c r="V19" i="9"/>
  <c r="Q20" i="9"/>
  <c r="V20" i="9"/>
  <c r="Q21" i="9"/>
  <c r="V21" i="9"/>
  <c r="Q22" i="9"/>
  <c r="V22" i="9"/>
  <c r="Q23" i="9"/>
  <c r="V23" i="9"/>
  <c r="Q24" i="9"/>
  <c r="V24" i="9"/>
  <c r="Q25" i="9"/>
  <c r="V25" i="9"/>
  <c r="Q26" i="9"/>
  <c r="V26" i="9"/>
  <c r="Q27" i="9"/>
  <c r="V27" i="9"/>
  <c r="Q28" i="9"/>
  <c r="V28" i="9"/>
  <c r="Q29" i="9"/>
  <c r="V29" i="9"/>
  <c r="Q30" i="9"/>
  <c r="V30" i="9"/>
  <c r="Q31" i="9"/>
  <c r="V31" i="9"/>
  <c r="Q32" i="9"/>
  <c r="V32" i="9"/>
  <c r="Q33" i="9"/>
  <c r="V33" i="9"/>
  <c r="Q34" i="9"/>
  <c r="V34" i="9"/>
  <c r="Q35" i="9"/>
  <c r="V35" i="9"/>
  <c r="Q36" i="9"/>
  <c r="V36" i="9"/>
  <c r="Q37" i="9"/>
  <c r="V37" i="9"/>
  <c r="Q38" i="9"/>
  <c r="V38" i="9"/>
  <c r="Q39" i="9"/>
  <c r="V39" i="9"/>
  <c r="Q40" i="9"/>
  <c r="V40" i="9"/>
  <c r="Q41" i="9"/>
  <c r="V41" i="9"/>
  <c r="Q42" i="9"/>
  <c r="V42" i="9"/>
  <c r="Q43" i="9"/>
  <c r="V43" i="9"/>
  <c r="Q44" i="9"/>
  <c r="V44" i="9"/>
  <c r="Q45" i="9"/>
  <c r="V45" i="9"/>
  <c r="Q46" i="9"/>
  <c r="V46" i="9"/>
  <c r="Q47" i="9"/>
  <c r="V47" i="9"/>
  <c r="Q48" i="9"/>
  <c r="V48" i="9"/>
  <c r="Q49" i="9"/>
  <c r="V49" i="9"/>
  <c r="Q50" i="9"/>
  <c r="V50" i="9"/>
  <c r="Q51" i="9"/>
  <c r="V51" i="9"/>
  <c r="Q52" i="9"/>
  <c r="V52" i="9"/>
  <c r="Q53" i="9"/>
  <c r="V53" i="9"/>
  <c r="Q54" i="9"/>
  <c r="V54" i="9"/>
  <c r="Q55" i="9"/>
  <c r="V55" i="9"/>
  <c r="Q56" i="9"/>
  <c r="V56" i="9"/>
  <c r="Q57" i="9"/>
  <c r="V57" i="9"/>
  <c r="Q58" i="9"/>
  <c r="V58" i="9"/>
  <c r="Q59" i="9"/>
  <c r="V59" i="9"/>
  <c r="Q60" i="9"/>
  <c r="V60" i="9"/>
  <c r="Q61" i="9"/>
  <c r="V61" i="9"/>
  <c r="Q62" i="9"/>
  <c r="V62" i="9"/>
  <c r="Q63" i="9"/>
  <c r="V63" i="9"/>
  <c r="Q64" i="9"/>
  <c r="V64" i="9"/>
  <c r="Q65" i="9"/>
  <c r="V65" i="9"/>
  <c r="Q66" i="9"/>
  <c r="V66" i="9"/>
  <c r="Q67" i="9"/>
  <c r="V67" i="9"/>
  <c r="Q68" i="9"/>
  <c r="V68" i="9"/>
  <c r="Q69" i="9"/>
  <c r="V69" i="9"/>
  <c r="Q70" i="9"/>
  <c r="V70" i="9"/>
  <c r="Q71" i="9"/>
  <c r="V71" i="9"/>
  <c r="Q72" i="9"/>
  <c r="V72" i="9"/>
  <c r="Q73" i="9"/>
  <c r="V73" i="9"/>
  <c r="Q74" i="9"/>
  <c r="V74" i="9"/>
  <c r="Q75" i="9"/>
  <c r="V75" i="9"/>
  <c r="Q76" i="9"/>
  <c r="V76" i="9"/>
  <c r="Q77" i="9"/>
  <c r="V77" i="9"/>
  <c r="Q78" i="9"/>
  <c r="V78" i="9"/>
  <c r="Q79" i="9"/>
  <c r="V79" i="9"/>
  <c r="Q80" i="9"/>
  <c r="V80" i="9"/>
  <c r="Q81" i="9"/>
  <c r="V81" i="9"/>
  <c r="Q82" i="9"/>
  <c r="V82" i="9"/>
  <c r="Q83" i="9"/>
  <c r="V83" i="9"/>
  <c r="Q84" i="9"/>
  <c r="V84" i="9"/>
  <c r="V4" i="9"/>
  <c r="Q4" i="9"/>
  <c r="D84" i="9"/>
  <c r="C84" i="9"/>
  <c r="FA84" i="9" s="1"/>
  <c r="D83" i="9"/>
  <c r="C83" i="9"/>
  <c r="FA83" i="9" s="1"/>
  <c r="D82" i="9"/>
  <c r="C82" i="9"/>
  <c r="FA82" i="9" s="1"/>
  <c r="D81" i="9"/>
  <c r="C81" i="9"/>
  <c r="FA81" i="9" s="1"/>
  <c r="D80" i="9"/>
  <c r="C80" i="9"/>
  <c r="FA80" i="9" s="1"/>
  <c r="D79" i="9"/>
  <c r="C79" i="9"/>
  <c r="FA79" i="9" s="1"/>
  <c r="D78" i="9"/>
  <c r="C78" i="9"/>
  <c r="FA78" i="9" s="1"/>
  <c r="D77" i="9"/>
  <c r="C77" i="9"/>
  <c r="FA77" i="9" s="1"/>
  <c r="D76" i="9"/>
  <c r="C76" i="9"/>
  <c r="FA76" i="9" s="1"/>
  <c r="D75" i="9"/>
  <c r="C75" i="9"/>
  <c r="FA75" i="9" s="1"/>
  <c r="D74" i="9"/>
  <c r="C74" i="9"/>
  <c r="FA74" i="9" s="1"/>
  <c r="D73" i="9"/>
  <c r="C73" i="9"/>
  <c r="FA73" i="9" s="1"/>
  <c r="D72" i="9"/>
  <c r="C72" i="9"/>
  <c r="FA72" i="9" s="1"/>
  <c r="D71" i="9"/>
  <c r="C71" i="9"/>
  <c r="FA71" i="9" s="1"/>
  <c r="D70" i="9"/>
  <c r="C70" i="9"/>
  <c r="FA70" i="9" s="1"/>
  <c r="D69" i="9"/>
  <c r="C69" i="9"/>
  <c r="FA69" i="9" s="1"/>
  <c r="D68" i="9"/>
  <c r="C68" i="9"/>
  <c r="FA68" i="9" s="1"/>
  <c r="D67" i="9"/>
  <c r="C67" i="9"/>
  <c r="FA67" i="9" s="1"/>
  <c r="D66" i="9"/>
  <c r="C66" i="9"/>
  <c r="FA66" i="9" s="1"/>
  <c r="D65" i="9"/>
  <c r="C65" i="9"/>
  <c r="FA65" i="9" s="1"/>
  <c r="D64" i="9"/>
  <c r="C64" i="9"/>
  <c r="FA64" i="9" s="1"/>
  <c r="D63" i="9"/>
  <c r="C63" i="9"/>
  <c r="FA63" i="9" s="1"/>
  <c r="D62" i="9"/>
  <c r="C62" i="9"/>
  <c r="FA62" i="9" s="1"/>
  <c r="D61" i="9"/>
  <c r="C61" i="9"/>
  <c r="FA61" i="9" s="1"/>
  <c r="D60" i="9"/>
  <c r="C60" i="9"/>
  <c r="FA60" i="9" s="1"/>
  <c r="D59" i="9"/>
  <c r="C59" i="9"/>
  <c r="FA59" i="9" s="1"/>
  <c r="D58" i="9"/>
  <c r="C58" i="9"/>
  <c r="FA58" i="9" s="1"/>
  <c r="D57" i="9"/>
  <c r="C57" i="9"/>
  <c r="FA57" i="9" s="1"/>
  <c r="D56" i="9"/>
  <c r="C56" i="9"/>
  <c r="FA56" i="9" s="1"/>
  <c r="D55" i="9"/>
  <c r="C55" i="9"/>
  <c r="FA55" i="9" s="1"/>
  <c r="D54" i="9"/>
  <c r="C54" i="9"/>
  <c r="FA54" i="9" s="1"/>
  <c r="D53" i="9"/>
  <c r="C53" i="9"/>
  <c r="FA53" i="9" s="1"/>
  <c r="D52" i="9"/>
  <c r="C52" i="9"/>
  <c r="FA52" i="9" s="1"/>
  <c r="D51" i="9"/>
  <c r="C51" i="9"/>
  <c r="FA51" i="9" s="1"/>
  <c r="D50" i="9"/>
  <c r="C50" i="9"/>
  <c r="FA50" i="9" s="1"/>
  <c r="D49" i="9"/>
  <c r="C49" i="9"/>
  <c r="FA49" i="9" s="1"/>
  <c r="D48" i="9"/>
  <c r="C48" i="9"/>
  <c r="FA48" i="9" s="1"/>
  <c r="D47" i="9"/>
  <c r="C47" i="9"/>
  <c r="FA47" i="9" s="1"/>
  <c r="D46" i="9"/>
  <c r="C46" i="9"/>
  <c r="FA46" i="9" s="1"/>
  <c r="D45" i="9"/>
  <c r="C45" i="9"/>
  <c r="FA45" i="9" s="1"/>
  <c r="D44" i="9"/>
  <c r="C44" i="9"/>
  <c r="FA44" i="9" s="1"/>
  <c r="D43" i="9"/>
  <c r="C43" i="9"/>
  <c r="FA43" i="9" s="1"/>
  <c r="D42" i="9"/>
  <c r="C42" i="9"/>
  <c r="FA42" i="9" s="1"/>
  <c r="D41" i="9"/>
  <c r="C41" i="9"/>
  <c r="FA41" i="9" s="1"/>
  <c r="D40" i="9"/>
  <c r="C40" i="9"/>
  <c r="FA40" i="9" s="1"/>
  <c r="D39" i="9"/>
  <c r="C39" i="9"/>
  <c r="FA39" i="9" s="1"/>
  <c r="D38" i="9"/>
  <c r="C38" i="9"/>
  <c r="FA38" i="9" s="1"/>
  <c r="D37" i="9"/>
  <c r="C37" i="9"/>
  <c r="FA37" i="9" s="1"/>
  <c r="D36" i="9"/>
  <c r="C36" i="9"/>
  <c r="FA36" i="9" s="1"/>
  <c r="D35" i="9"/>
  <c r="C35" i="9"/>
  <c r="FA35" i="9" s="1"/>
  <c r="D34" i="9"/>
  <c r="C34" i="9"/>
  <c r="FA34" i="9" s="1"/>
  <c r="D33" i="9"/>
  <c r="C33" i="9"/>
  <c r="FA33" i="9" s="1"/>
  <c r="D32" i="9"/>
  <c r="C32" i="9"/>
  <c r="FA32" i="9" s="1"/>
  <c r="D31" i="9"/>
  <c r="C31" i="9"/>
  <c r="FA31" i="9" s="1"/>
  <c r="D30" i="9"/>
  <c r="C30" i="9"/>
  <c r="FA30" i="9" s="1"/>
  <c r="D29" i="9"/>
  <c r="C29" i="9"/>
  <c r="FA29" i="9" s="1"/>
  <c r="D28" i="9"/>
  <c r="C28" i="9"/>
  <c r="FA28" i="9" s="1"/>
  <c r="D27" i="9"/>
  <c r="C27" i="9"/>
  <c r="FA27" i="9" s="1"/>
  <c r="D26" i="9"/>
  <c r="C26" i="9"/>
  <c r="FA26" i="9" s="1"/>
  <c r="D25" i="9"/>
  <c r="C25" i="9"/>
  <c r="FA25" i="9" s="1"/>
  <c r="D24" i="9"/>
  <c r="C24" i="9"/>
  <c r="FA24" i="9" s="1"/>
  <c r="D23" i="9"/>
  <c r="C23" i="9"/>
  <c r="FA23" i="9" s="1"/>
  <c r="D22" i="9"/>
  <c r="C22" i="9"/>
  <c r="FA22" i="9" s="1"/>
  <c r="D21" i="9"/>
  <c r="C21" i="9"/>
  <c r="FA21" i="9" s="1"/>
  <c r="D20" i="9"/>
  <c r="C20" i="9"/>
  <c r="FA20" i="9" s="1"/>
  <c r="D19" i="9"/>
  <c r="C19" i="9"/>
  <c r="FA19" i="9" s="1"/>
  <c r="D18" i="9"/>
  <c r="C18" i="9"/>
  <c r="FA18" i="9" s="1"/>
  <c r="D17" i="9"/>
  <c r="C17" i="9"/>
  <c r="FA17" i="9" s="1"/>
  <c r="D16" i="9"/>
  <c r="C16" i="9"/>
  <c r="FA16" i="9" s="1"/>
  <c r="D15" i="9"/>
  <c r="C15" i="9"/>
  <c r="FA15" i="9" s="1"/>
  <c r="D14" i="9"/>
  <c r="C14" i="9"/>
  <c r="FA14" i="9" s="1"/>
  <c r="D13" i="9"/>
  <c r="C13" i="9"/>
  <c r="FA13" i="9" s="1"/>
  <c r="D12" i="9"/>
  <c r="C12" i="9"/>
  <c r="FA12" i="9" s="1"/>
  <c r="D11" i="9"/>
  <c r="C11" i="9"/>
  <c r="FA11" i="9" s="1"/>
  <c r="D10" i="9"/>
  <c r="C10" i="9"/>
  <c r="FA10" i="9" s="1"/>
  <c r="D9" i="9"/>
  <c r="C9" i="9"/>
  <c r="FA9" i="9" s="1"/>
  <c r="D8" i="9"/>
  <c r="C8" i="9"/>
  <c r="FA8" i="9" s="1"/>
  <c r="D7" i="9"/>
  <c r="C7" i="9"/>
  <c r="FA7" i="9" s="1"/>
  <c r="D6" i="9"/>
  <c r="C6" i="9"/>
  <c r="FA6" i="9" s="1"/>
  <c r="D5" i="9"/>
  <c r="C5" i="9"/>
  <c r="FA5" i="9" s="1"/>
  <c r="D4" i="9"/>
  <c r="C4" i="9"/>
  <c r="FA4" i="9" s="1"/>
  <c r="E5" i="2"/>
  <c r="E7" i="2"/>
  <c r="E8" i="2"/>
  <c r="E9" i="2"/>
  <c r="E10" i="2"/>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4" i="8"/>
  <c r="E238" i="2" l="1"/>
  <c r="D238" i="2"/>
  <c r="GJ4" i="9"/>
  <c r="HF4" i="9"/>
  <c r="HE4" i="9"/>
  <c r="GZ4" i="9"/>
  <c r="GU4" i="9"/>
  <c r="GP4" i="9"/>
  <c r="GJ5" i="9"/>
  <c r="HE5" i="9"/>
  <c r="HF5" i="9"/>
  <c r="GZ5" i="9"/>
  <c r="GU5" i="9"/>
  <c r="GP5" i="9"/>
  <c r="GJ6" i="9"/>
  <c r="HE6" i="9"/>
  <c r="HF6" i="9"/>
  <c r="GZ6" i="9"/>
  <c r="GU6" i="9"/>
  <c r="GP6" i="9"/>
  <c r="GJ7" i="9"/>
  <c r="HE7" i="9"/>
  <c r="HF7" i="9"/>
  <c r="GZ7" i="9"/>
  <c r="GU7" i="9"/>
  <c r="GP7" i="9"/>
  <c r="GJ8" i="9"/>
  <c r="HE8" i="9"/>
  <c r="HF8" i="9"/>
  <c r="GZ8" i="9"/>
  <c r="GU8" i="9"/>
  <c r="GP8" i="9"/>
  <c r="GJ9" i="9"/>
  <c r="HE9" i="9"/>
  <c r="HF9" i="9"/>
  <c r="GZ9" i="9"/>
  <c r="GU9" i="9"/>
  <c r="GP9" i="9"/>
  <c r="GJ10" i="9"/>
  <c r="HE10" i="9"/>
  <c r="HF10" i="9"/>
  <c r="GZ10" i="9"/>
  <c r="GU10" i="9"/>
  <c r="GP10" i="9"/>
  <c r="GJ11" i="9"/>
  <c r="HE11" i="9"/>
  <c r="HF11" i="9"/>
  <c r="GZ11" i="9"/>
  <c r="GU11" i="9"/>
  <c r="GP11" i="9"/>
  <c r="GJ12" i="9"/>
  <c r="HE12" i="9"/>
  <c r="HF12" i="9"/>
  <c r="GZ12" i="9"/>
  <c r="GU12" i="9"/>
  <c r="GP12" i="9"/>
  <c r="GJ13" i="9"/>
  <c r="HE13" i="9"/>
  <c r="HF13" i="9"/>
  <c r="GZ13" i="9"/>
  <c r="GU13" i="9"/>
  <c r="GP13" i="9"/>
  <c r="GJ14" i="9"/>
  <c r="HE14" i="9"/>
  <c r="HF14" i="9"/>
  <c r="GZ14" i="9"/>
  <c r="GU14" i="9"/>
  <c r="GP14" i="9"/>
  <c r="GJ15" i="9"/>
  <c r="HE15" i="9"/>
  <c r="HF15" i="9"/>
  <c r="GZ15" i="9"/>
  <c r="GU15" i="9"/>
  <c r="GP15" i="9"/>
  <c r="GJ16" i="9"/>
  <c r="HE16" i="9"/>
  <c r="HF16" i="9"/>
  <c r="GZ16" i="9"/>
  <c r="GU16" i="9"/>
  <c r="GP16" i="9"/>
  <c r="GJ17" i="9"/>
  <c r="HE17" i="9"/>
  <c r="HF17" i="9"/>
  <c r="GZ17" i="9"/>
  <c r="GU17" i="9"/>
  <c r="GP17" i="9"/>
  <c r="GJ18" i="9"/>
  <c r="HE18" i="9"/>
  <c r="HF18" i="9"/>
  <c r="GZ18" i="9"/>
  <c r="GU18" i="9"/>
  <c r="GP18" i="9"/>
  <c r="GJ19" i="9"/>
  <c r="HE19" i="9"/>
  <c r="HF19" i="9"/>
  <c r="GZ19" i="9"/>
  <c r="GU19" i="9"/>
  <c r="GP19" i="9"/>
  <c r="GJ20" i="9"/>
  <c r="HE20" i="9"/>
  <c r="HF20" i="9"/>
  <c r="GZ20" i="9"/>
  <c r="GU20" i="9"/>
  <c r="GP20" i="9"/>
  <c r="GJ21" i="9"/>
  <c r="HE21" i="9"/>
  <c r="HF21" i="9"/>
  <c r="GZ21" i="9"/>
  <c r="GU21" i="9"/>
  <c r="GP21" i="9"/>
  <c r="GJ22" i="9"/>
  <c r="HE22" i="9"/>
  <c r="HF22" i="9"/>
  <c r="GZ22" i="9"/>
  <c r="GU22" i="9"/>
  <c r="GP22" i="9"/>
  <c r="GJ23" i="9"/>
  <c r="HE23" i="9"/>
  <c r="HF23" i="9"/>
  <c r="GZ23" i="9"/>
  <c r="GU23" i="9"/>
  <c r="GP23" i="9"/>
  <c r="GJ24" i="9"/>
  <c r="HE24" i="9"/>
  <c r="HF24" i="9"/>
  <c r="GZ24" i="9"/>
  <c r="GU24" i="9"/>
  <c r="GP24" i="9"/>
  <c r="GJ25" i="9"/>
  <c r="HE25" i="9"/>
  <c r="HF25" i="9"/>
  <c r="GZ25" i="9"/>
  <c r="GU25" i="9"/>
  <c r="GP25" i="9"/>
  <c r="GJ26" i="9"/>
  <c r="HE26" i="9"/>
  <c r="HF26" i="9"/>
  <c r="GZ26" i="9"/>
  <c r="GU26" i="9"/>
  <c r="GP26" i="9"/>
  <c r="GJ27" i="9"/>
  <c r="HE27" i="9"/>
  <c r="HF27" i="9"/>
  <c r="GZ27" i="9"/>
  <c r="GU27" i="9"/>
  <c r="GP27" i="9"/>
  <c r="GJ28" i="9"/>
  <c r="HE28" i="9"/>
  <c r="HF28" i="9"/>
  <c r="GZ28" i="9"/>
  <c r="GU28" i="9"/>
  <c r="GP28" i="9"/>
  <c r="GJ29" i="9"/>
  <c r="HE29" i="9"/>
  <c r="HF29" i="9"/>
  <c r="GZ29" i="9"/>
  <c r="GU29" i="9"/>
  <c r="GP29" i="9"/>
  <c r="GJ30" i="9"/>
  <c r="HE30" i="9"/>
  <c r="HF30" i="9"/>
  <c r="GZ30" i="9"/>
  <c r="GU30" i="9"/>
  <c r="GP30" i="9"/>
  <c r="GJ31" i="9"/>
  <c r="HE31" i="9"/>
  <c r="HF31" i="9"/>
  <c r="GZ31" i="9"/>
  <c r="GU31" i="9"/>
  <c r="GP31" i="9"/>
  <c r="GJ32" i="9"/>
  <c r="HE32" i="9"/>
  <c r="HF32" i="9"/>
  <c r="GZ32" i="9"/>
  <c r="GU32" i="9"/>
  <c r="GP32" i="9"/>
  <c r="GJ33" i="9"/>
  <c r="HE33" i="9"/>
  <c r="HF33" i="9"/>
  <c r="GZ33" i="9"/>
  <c r="GU33" i="9"/>
  <c r="GP33" i="9"/>
  <c r="GJ34" i="9"/>
  <c r="HE34" i="9"/>
  <c r="HF34" i="9"/>
  <c r="GZ34" i="9"/>
  <c r="GU34" i="9"/>
  <c r="GP34" i="9"/>
  <c r="GJ35" i="9"/>
  <c r="HE35" i="9"/>
  <c r="HF35" i="9"/>
  <c r="GZ35" i="9"/>
  <c r="GU35" i="9"/>
  <c r="GP35" i="9"/>
  <c r="GJ36" i="9"/>
  <c r="HE36" i="9"/>
  <c r="HF36" i="9"/>
  <c r="GZ36" i="9"/>
  <c r="GU36" i="9"/>
  <c r="GP36" i="9"/>
  <c r="GJ37" i="9"/>
  <c r="HE37" i="9"/>
  <c r="HF37" i="9"/>
  <c r="GZ37" i="9"/>
  <c r="GU37" i="9"/>
  <c r="GP37" i="9"/>
  <c r="GJ38" i="9"/>
  <c r="HE38" i="9"/>
  <c r="HF38" i="9"/>
  <c r="GZ38" i="9"/>
  <c r="GU38" i="9"/>
  <c r="GP38" i="9"/>
  <c r="GJ39" i="9"/>
  <c r="HE39" i="9"/>
  <c r="HF39" i="9"/>
  <c r="GZ39" i="9"/>
  <c r="GU39" i="9"/>
  <c r="GP39" i="9"/>
  <c r="GJ40" i="9"/>
  <c r="HE40" i="9"/>
  <c r="HF40" i="9"/>
  <c r="GZ40" i="9"/>
  <c r="GU40" i="9"/>
  <c r="GP40" i="9"/>
  <c r="GJ41" i="9"/>
  <c r="HE41" i="9"/>
  <c r="HF41" i="9"/>
  <c r="GZ41" i="9"/>
  <c r="GU41" i="9"/>
  <c r="GP41" i="9"/>
  <c r="GJ42" i="9"/>
  <c r="HE42" i="9"/>
  <c r="HF42" i="9"/>
  <c r="GZ42" i="9"/>
  <c r="GU42" i="9"/>
  <c r="GP42" i="9"/>
  <c r="GJ43" i="9"/>
  <c r="HE43" i="9"/>
  <c r="HF43" i="9"/>
  <c r="GZ43" i="9"/>
  <c r="GU43" i="9"/>
  <c r="GP43" i="9"/>
  <c r="GJ44" i="9"/>
  <c r="HE44" i="9"/>
  <c r="HF44" i="9"/>
  <c r="GZ44" i="9"/>
  <c r="GU44" i="9"/>
  <c r="GP44" i="9"/>
  <c r="GJ45" i="9"/>
  <c r="HE45" i="9"/>
  <c r="HF45" i="9"/>
  <c r="GZ45" i="9"/>
  <c r="GU45" i="9"/>
  <c r="GP45" i="9"/>
  <c r="GJ46" i="9"/>
  <c r="HE46" i="9"/>
  <c r="HF46" i="9"/>
  <c r="GZ46" i="9"/>
  <c r="GU46" i="9"/>
  <c r="GP46" i="9"/>
  <c r="GJ47" i="9"/>
  <c r="HE47" i="9"/>
  <c r="HF47" i="9"/>
  <c r="GZ47" i="9"/>
  <c r="GU47" i="9"/>
  <c r="GP47" i="9"/>
  <c r="GJ48" i="9"/>
  <c r="HE48" i="9"/>
  <c r="HF48" i="9"/>
  <c r="GZ48" i="9"/>
  <c r="GU48" i="9"/>
  <c r="GP48" i="9"/>
  <c r="GJ49" i="9"/>
  <c r="HE49" i="9"/>
  <c r="HF49" i="9"/>
  <c r="GZ49" i="9"/>
  <c r="GU49" i="9"/>
  <c r="GP49" i="9"/>
  <c r="GJ50" i="9"/>
  <c r="HE50" i="9"/>
  <c r="HF50" i="9"/>
  <c r="GZ50" i="9"/>
  <c r="GU50" i="9"/>
  <c r="GP50" i="9"/>
  <c r="GJ51" i="9"/>
  <c r="HE51" i="9"/>
  <c r="HF51" i="9"/>
  <c r="GZ51" i="9"/>
  <c r="GU51" i="9"/>
  <c r="GP51" i="9"/>
  <c r="GJ52" i="9"/>
  <c r="HE52" i="9"/>
  <c r="HF52" i="9"/>
  <c r="GZ52" i="9"/>
  <c r="GU52" i="9"/>
  <c r="GP52" i="9"/>
  <c r="GJ53" i="9"/>
  <c r="HE53" i="9"/>
  <c r="HF53" i="9"/>
  <c r="GZ53" i="9"/>
  <c r="GU53" i="9"/>
  <c r="GP53" i="9"/>
  <c r="GJ54" i="9"/>
  <c r="HE54" i="9"/>
  <c r="HF54" i="9"/>
  <c r="GZ54" i="9"/>
  <c r="GU54" i="9"/>
  <c r="GP54" i="9"/>
  <c r="GJ55" i="9"/>
  <c r="HE55" i="9"/>
  <c r="HF55" i="9"/>
  <c r="GZ55" i="9"/>
  <c r="GU55" i="9"/>
  <c r="GP55" i="9"/>
  <c r="GJ56" i="9"/>
  <c r="HE56" i="9"/>
  <c r="HF56" i="9"/>
  <c r="GZ56" i="9"/>
  <c r="GU56" i="9"/>
  <c r="GP56" i="9"/>
  <c r="GJ57" i="9"/>
  <c r="HE57" i="9"/>
  <c r="HF57" i="9"/>
  <c r="GZ57" i="9"/>
  <c r="GU57" i="9"/>
  <c r="GP57" i="9"/>
  <c r="GJ58" i="9"/>
  <c r="HE58" i="9"/>
  <c r="HF58" i="9"/>
  <c r="GZ58" i="9"/>
  <c r="GU58" i="9"/>
  <c r="GP58" i="9"/>
  <c r="GJ59" i="9"/>
  <c r="HE59" i="9"/>
  <c r="HF59" i="9"/>
  <c r="GZ59" i="9"/>
  <c r="GU59" i="9"/>
  <c r="GP59" i="9"/>
  <c r="GJ60" i="9"/>
  <c r="HE60" i="9"/>
  <c r="HF60" i="9"/>
  <c r="GZ60" i="9"/>
  <c r="GU60" i="9"/>
  <c r="GP60" i="9"/>
  <c r="GJ61" i="9"/>
  <c r="HE61" i="9"/>
  <c r="HF61" i="9"/>
  <c r="GZ61" i="9"/>
  <c r="GU61" i="9"/>
  <c r="GP61" i="9"/>
  <c r="GJ62" i="9"/>
  <c r="HE62" i="9"/>
  <c r="HF62" i="9"/>
  <c r="GZ62" i="9"/>
  <c r="GU62" i="9"/>
  <c r="GP62" i="9"/>
  <c r="GJ63" i="9"/>
  <c r="HE63" i="9"/>
  <c r="HF63" i="9"/>
  <c r="GZ63" i="9"/>
  <c r="GU63" i="9"/>
  <c r="GP63" i="9"/>
  <c r="GJ64" i="9"/>
  <c r="HE64" i="9"/>
  <c r="HF64" i="9"/>
  <c r="GZ64" i="9"/>
  <c r="GU64" i="9"/>
  <c r="GP64" i="9"/>
  <c r="GJ65" i="9"/>
  <c r="HE65" i="9"/>
  <c r="HF65" i="9"/>
  <c r="GZ65" i="9"/>
  <c r="GU65" i="9"/>
  <c r="GP65" i="9"/>
  <c r="GJ66" i="9"/>
  <c r="HE66" i="9"/>
  <c r="HF66" i="9"/>
  <c r="GZ66" i="9"/>
  <c r="GU66" i="9"/>
  <c r="GP66" i="9"/>
  <c r="GJ67" i="9"/>
  <c r="HE67" i="9"/>
  <c r="HF67" i="9"/>
  <c r="GZ67" i="9"/>
  <c r="GU67" i="9"/>
  <c r="GP67" i="9"/>
  <c r="GJ68" i="9"/>
  <c r="HE68" i="9"/>
  <c r="HF68" i="9"/>
  <c r="GZ68" i="9"/>
  <c r="GU68" i="9"/>
  <c r="GP68" i="9"/>
  <c r="GJ69" i="9"/>
  <c r="HE69" i="9"/>
  <c r="HF69" i="9"/>
  <c r="GZ69" i="9"/>
  <c r="GU69" i="9"/>
  <c r="GP69" i="9"/>
  <c r="GJ70" i="9"/>
  <c r="HE70" i="9"/>
  <c r="HF70" i="9"/>
  <c r="GZ70" i="9"/>
  <c r="GU70" i="9"/>
  <c r="GP70" i="9"/>
  <c r="GJ71" i="9"/>
  <c r="HE71" i="9"/>
  <c r="HF71" i="9"/>
  <c r="GZ71" i="9"/>
  <c r="GU71" i="9"/>
  <c r="GP71" i="9"/>
  <c r="GJ72" i="9"/>
  <c r="HE72" i="9"/>
  <c r="HF72" i="9"/>
  <c r="GZ72" i="9"/>
  <c r="GU72" i="9"/>
  <c r="GP72" i="9"/>
  <c r="GJ73" i="9"/>
  <c r="HE73" i="9"/>
  <c r="HF73" i="9"/>
  <c r="GZ73" i="9"/>
  <c r="GU73" i="9"/>
  <c r="GP73" i="9"/>
  <c r="GJ74" i="9"/>
  <c r="HE74" i="9"/>
  <c r="HF74" i="9"/>
  <c r="GZ74" i="9"/>
  <c r="GU74" i="9"/>
  <c r="GP74" i="9"/>
  <c r="GJ75" i="9"/>
  <c r="HE75" i="9"/>
  <c r="HF75" i="9"/>
  <c r="GZ75" i="9"/>
  <c r="GU75" i="9"/>
  <c r="GP75" i="9"/>
  <c r="GJ76" i="9"/>
  <c r="HE76" i="9"/>
  <c r="HF76" i="9"/>
  <c r="GZ76" i="9"/>
  <c r="GU76" i="9"/>
  <c r="GP76" i="9"/>
  <c r="GJ77" i="9"/>
  <c r="HE77" i="9"/>
  <c r="HF77" i="9"/>
  <c r="GZ77" i="9"/>
  <c r="GU77" i="9"/>
  <c r="GP77" i="9"/>
  <c r="GJ78" i="9"/>
  <c r="HE78" i="9"/>
  <c r="HF78" i="9"/>
  <c r="GZ78" i="9"/>
  <c r="GU78" i="9"/>
  <c r="GP78" i="9"/>
  <c r="GJ79" i="9"/>
  <c r="HE79" i="9"/>
  <c r="HF79" i="9"/>
  <c r="GZ79" i="9"/>
  <c r="GU79" i="9"/>
  <c r="GP79" i="9"/>
  <c r="GJ80" i="9"/>
  <c r="HE80" i="9"/>
  <c r="HF80" i="9"/>
  <c r="GZ80" i="9"/>
  <c r="GU80" i="9"/>
  <c r="GP80" i="9"/>
  <c r="GJ81" i="9"/>
  <c r="HE81" i="9"/>
  <c r="HF81" i="9"/>
  <c r="GZ81" i="9"/>
  <c r="GU81" i="9"/>
  <c r="GP81" i="9"/>
  <c r="GJ82" i="9"/>
  <c r="HE82" i="9"/>
  <c r="HF82" i="9"/>
  <c r="GZ82" i="9"/>
  <c r="GU82" i="9"/>
  <c r="GP82" i="9"/>
  <c r="GJ83" i="9"/>
  <c r="HE83" i="9"/>
  <c r="HF83" i="9"/>
  <c r="GZ83" i="9"/>
  <c r="GU83" i="9"/>
  <c r="GP83" i="9"/>
  <c r="GJ84" i="9"/>
  <c r="HE84" i="9"/>
  <c r="HF84" i="9"/>
  <c r="GZ84" i="9"/>
  <c r="GU84" i="9"/>
  <c r="GP84" i="9"/>
  <c r="E17" i="2"/>
  <c r="E16" i="2"/>
  <c r="D17" i="2"/>
  <c r="D16" i="2"/>
  <c r="E311" i="2"/>
  <c r="D310" i="2"/>
  <c r="D302" i="2"/>
  <c r="D301" i="2"/>
  <c r="D300" i="2"/>
  <c r="E302" i="2"/>
  <c r="E301" i="2"/>
  <c r="E293" i="2"/>
  <c r="D293" i="2"/>
  <c r="D291" i="2"/>
  <c r="E284" i="2"/>
  <c r="E281" i="2"/>
  <c r="D284" i="2"/>
  <c r="D281" i="2"/>
  <c r="D280" i="2"/>
  <c r="M257" i="2"/>
  <c r="G257" i="2"/>
  <c r="E257" i="2"/>
  <c r="Q258" i="2"/>
  <c r="M258" i="2"/>
  <c r="HH4" i="9"/>
  <c r="HG4" i="9"/>
  <c r="HH5" i="9"/>
  <c r="HG5" i="9"/>
  <c r="HH6" i="9"/>
  <c r="HG6" i="9"/>
  <c r="HH7" i="9"/>
  <c r="HG7" i="9"/>
  <c r="HH8" i="9"/>
  <c r="HG8" i="9"/>
  <c r="HH9" i="9"/>
  <c r="HG9" i="9"/>
  <c r="HH10" i="9"/>
  <c r="HG10" i="9"/>
  <c r="HH11" i="9"/>
  <c r="HG11" i="9"/>
  <c r="HH12" i="9"/>
  <c r="HG12" i="9"/>
  <c r="HH13" i="9"/>
  <c r="HG13" i="9"/>
  <c r="HH14" i="9"/>
  <c r="HG14" i="9"/>
  <c r="HH15" i="9"/>
  <c r="HG15" i="9"/>
  <c r="HH16" i="9"/>
  <c r="HG16" i="9"/>
  <c r="HH17" i="9"/>
  <c r="HG17" i="9"/>
  <c r="HH18" i="9"/>
  <c r="HG18" i="9"/>
  <c r="HH19" i="9"/>
  <c r="HG19" i="9"/>
  <c r="HH20" i="9"/>
  <c r="HG20" i="9"/>
  <c r="HH21" i="9"/>
  <c r="HG21" i="9"/>
  <c r="HH22" i="9"/>
  <c r="HG22" i="9"/>
  <c r="HH23" i="9"/>
  <c r="HG23" i="9"/>
  <c r="HH24" i="9"/>
  <c r="HG24" i="9"/>
  <c r="HH25" i="9"/>
  <c r="HG25" i="9"/>
  <c r="HH26" i="9"/>
  <c r="HG26" i="9"/>
  <c r="HH27" i="9"/>
  <c r="HG27" i="9"/>
  <c r="HH28" i="9"/>
  <c r="HG28" i="9"/>
  <c r="HH29" i="9"/>
  <c r="HG29" i="9"/>
  <c r="HH30" i="9"/>
  <c r="HG30" i="9"/>
  <c r="HH31" i="9"/>
  <c r="HG31" i="9"/>
  <c r="HH32" i="9"/>
  <c r="HG32" i="9"/>
  <c r="HH33" i="9"/>
  <c r="HG33" i="9"/>
  <c r="HH34" i="9"/>
  <c r="HG34" i="9"/>
  <c r="HH35" i="9"/>
  <c r="HG35" i="9"/>
  <c r="HH36" i="9"/>
  <c r="HG36" i="9"/>
  <c r="HH37" i="9"/>
  <c r="HG37" i="9"/>
  <c r="HH38" i="9"/>
  <c r="HG38" i="9"/>
  <c r="HH39" i="9"/>
  <c r="HG39" i="9"/>
  <c r="HH40" i="9"/>
  <c r="HG40" i="9"/>
  <c r="HH41" i="9"/>
  <c r="HG41" i="9"/>
  <c r="HH42" i="9"/>
  <c r="HG42" i="9"/>
  <c r="HH43" i="9"/>
  <c r="HG43" i="9"/>
  <c r="HH44" i="9"/>
  <c r="HG44" i="9"/>
  <c r="HH45" i="9"/>
  <c r="HG45" i="9"/>
  <c r="HH46" i="9"/>
  <c r="HG46" i="9"/>
  <c r="HH47" i="9"/>
  <c r="HG47" i="9"/>
  <c r="HH48" i="9"/>
  <c r="HG48" i="9"/>
  <c r="HH49" i="9"/>
  <c r="HG49" i="9"/>
  <c r="HH50" i="9"/>
  <c r="HG50" i="9"/>
  <c r="HH51" i="9"/>
  <c r="HG51" i="9"/>
  <c r="HH52" i="9"/>
  <c r="HG52" i="9"/>
  <c r="HH53" i="9"/>
  <c r="HG53" i="9"/>
  <c r="HH54" i="9"/>
  <c r="HG54" i="9"/>
  <c r="HH55" i="9"/>
  <c r="HG55" i="9"/>
  <c r="HH56" i="9"/>
  <c r="HG56" i="9"/>
  <c r="HH57" i="9"/>
  <c r="HG57" i="9"/>
  <c r="HH58" i="9"/>
  <c r="HG58" i="9"/>
  <c r="HH59" i="9"/>
  <c r="HG59" i="9"/>
  <c r="HH60" i="9"/>
  <c r="HG60" i="9"/>
  <c r="HH61" i="9"/>
  <c r="HG61" i="9"/>
  <c r="HH62" i="9"/>
  <c r="HG62" i="9"/>
  <c r="HH63" i="9"/>
  <c r="HG63" i="9"/>
  <c r="HH64" i="9"/>
  <c r="HG64" i="9"/>
  <c r="HH65" i="9"/>
  <c r="HG65" i="9"/>
  <c r="HH66" i="9"/>
  <c r="HG66" i="9"/>
  <c r="HH67" i="9"/>
  <c r="HG67" i="9"/>
  <c r="HH68" i="9"/>
  <c r="HG68" i="9"/>
  <c r="HH69" i="9"/>
  <c r="HG69" i="9"/>
  <c r="HH70" i="9"/>
  <c r="HG70" i="9"/>
  <c r="HH71" i="9"/>
  <c r="HG71" i="9"/>
  <c r="HH72" i="9"/>
  <c r="HG72" i="9"/>
  <c r="HH73" i="9"/>
  <c r="HG73" i="9"/>
  <c r="HH74" i="9"/>
  <c r="HG74" i="9"/>
  <c r="HH75" i="9"/>
  <c r="HG75" i="9"/>
  <c r="HH76" i="9"/>
  <c r="HG76" i="9"/>
  <c r="HH77" i="9"/>
  <c r="HG77" i="9"/>
  <c r="HH78" i="9"/>
  <c r="HG78" i="9"/>
  <c r="HH79" i="9"/>
  <c r="HG79" i="9"/>
  <c r="HH80" i="9"/>
  <c r="HG80" i="9"/>
  <c r="HH81" i="9"/>
  <c r="HG81" i="9"/>
  <c r="HH82" i="9"/>
  <c r="HG82" i="9"/>
  <c r="HH83" i="9"/>
  <c r="HG83" i="9"/>
  <c r="HH84" i="9"/>
  <c r="HG84" i="9"/>
  <c r="HB4" i="9"/>
  <c r="HA4" i="9"/>
  <c r="HB5" i="9"/>
  <c r="HA5" i="9"/>
  <c r="HB6" i="9"/>
  <c r="HA6" i="9"/>
  <c r="HB7" i="9"/>
  <c r="HA7" i="9"/>
  <c r="HB8" i="9"/>
  <c r="HA8" i="9"/>
  <c r="HB9" i="9"/>
  <c r="HA9" i="9"/>
  <c r="HB10" i="9"/>
  <c r="HA10" i="9"/>
  <c r="HB11" i="9"/>
  <c r="HA11" i="9"/>
  <c r="HB12" i="9"/>
  <c r="HA12" i="9"/>
  <c r="HB13" i="9"/>
  <c r="HA13" i="9"/>
  <c r="HB14" i="9"/>
  <c r="HA14" i="9"/>
  <c r="HB15" i="9"/>
  <c r="HA15" i="9"/>
  <c r="HB16" i="9"/>
  <c r="HA16" i="9"/>
  <c r="HB17" i="9"/>
  <c r="HA17" i="9"/>
  <c r="HB18" i="9"/>
  <c r="HA18" i="9"/>
  <c r="HB19" i="9"/>
  <c r="HA19" i="9"/>
  <c r="HB20" i="9"/>
  <c r="HA20" i="9"/>
  <c r="HB21" i="9"/>
  <c r="HA21" i="9"/>
  <c r="HB22" i="9"/>
  <c r="HA22" i="9"/>
  <c r="HB23" i="9"/>
  <c r="HA23" i="9"/>
  <c r="HB24" i="9"/>
  <c r="HA24" i="9"/>
  <c r="HB25" i="9"/>
  <c r="HA25" i="9"/>
  <c r="HB26" i="9"/>
  <c r="HA26" i="9"/>
  <c r="HB27" i="9"/>
  <c r="HA27" i="9"/>
  <c r="HB28" i="9"/>
  <c r="HA28" i="9"/>
  <c r="HB29" i="9"/>
  <c r="HA29" i="9"/>
  <c r="HB30" i="9"/>
  <c r="HA30" i="9"/>
  <c r="HB31" i="9"/>
  <c r="HA31" i="9"/>
  <c r="HB32" i="9"/>
  <c r="HA32" i="9"/>
  <c r="HB33" i="9"/>
  <c r="HA33" i="9"/>
  <c r="HB34" i="9"/>
  <c r="HA34" i="9"/>
  <c r="HB35" i="9"/>
  <c r="HA35" i="9"/>
  <c r="HB36" i="9"/>
  <c r="HA36" i="9"/>
  <c r="HB37" i="9"/>
  <c r="HA37" i="9"/>
  <c r="HB38" i="9"/>
  <c r="HA38" i="9"/>
  <c r="HB39" i="9"/>
  <c r="HA39" i="9"/>
  <c r="HB40" i="9"/>
  <c r="HA40" i="9"/>
  <c r="HB41" i="9"/>
  <c r="HA41" i="9"/>
  <c r="HB42" i="9"/>
  <c r="HA42" i="9"/>
  <c r="HB43" i="9"/>
  <c r="HA43" i="9"/>
  <c r="HB44" i="9"/>
  <c r="HA44" i="9"/>
  <c r="HB45" i="9"/>
  <c r="HA45" i="9"/>
  <c r="HB46" i="9"/>
  <c r="HA46" i="9"/>
  <c r="HB47" i="9"/>
  <c r="HA47" i="9"/>
  <c r="HB48" i="9"/>
  <c r="HA48" i="9"/>
  <c r="HB49" i="9"/>
  <c r="HA49" i="9"/>
  <c r="HB50" i="9"/>
  <c r="HA50" i="9"/>
  <c r="HB51" i="9"/>
  <c r="HA51" i="9"/>
  <c r="HB52" i="9"/>
  <c r="HA52" i="9"/>
  <c r="HB53" i="9"/>
  <c r="HA53" i="9"/>
  <c r="HB54" i="9"/>
  <c r="HA54" i="9"/>
  <c r="HB55" i="9"/>
  <c r="HA55" i="9"/>
  <c r="HB56" i="9"/>
  <c r="HA56" i="9"/>
  <c r="HB57" i="9"/>
  <c r="HA57" i="9"/>
  <c r="HB58" i="9"/>
  <c r="HA58" i="9"/>
  <c r="HB59" i="9"/>
  <c r="HA59" i="9"/>
  <c r="HB60" i="9"/>
  <c r="HA60" i="9"/>
  <c r="HB61" i="9"/>
  <c r="HA61" i="9"/>
  <c r="HB62" i="9"/>
  <c r="HA62" i="9"/>
  <c r="HB63" i="9"/>
  <c r="HA63" i="9"/>
  <c r="HB64" i="9"/>
  <c r="HA64" i="9"/>
  <c r="HB65" i="9"/>
  <c r="HA65" i="9"/>
  <c r="HB66" i="9"/>
  <c r="HA66" i="9"/>
  <c r="HB67" i="9"/>
  <c r="HA67" i="9"/>
  <c r="HB68" i="9"/>
  <c r="HA68" i="9"/>
  <c r="HB69" i="9"/>
  <c r="HA69" i="9"/>
  <c r="HB70" i="9"/>
  <c r="HA70" i="9"/>
  <c r="HB71" i="9"/>
  <c r="HA71" i="9"/>
  <c r="HB72" i="9"/>
  <c r="HA72" i="9"/>
  <c r="HB73" i="9"/>
  <c r="HA73" i="9"/>
  <c r="HB74" i="9"/>
  <c r="HA74" i="9"/>
  <c r="HB75" i="9"/>
  <c r="HA75" i="9"/>
  <c r="HB76" i="9"/>
  <c r="HA76" i="9"/>
  <c r="HB77" i="9"/>
  <c r="HA77" i="9"/>
  <c r="HB78" i="9"/>
  <c r="HA78" i="9"/>
  <c r="HB79" i="9"/>
  <c r="HA79" i="9"/>
  <c r="HB80" i="9"/>
  <c r="HA80" i="9"/>
  <c r="HB81" i="9"/>
  <c r="HA81" i="9"/>
  <c r="HB82" i="9"/>
  <c r="HA82" i="9"/>
  <c r="HB83" i="9"/>
  <c r="HA83" i="9"/>
  <c r="HB84" i="9"/>
  <c r="HA84" i="9"/>
  <c r="GW4" i="9"/>
  <c r="GV4" i="9"/>
  <c r="GW5" i="9"/>
  <c r="GV5" i="9"/>
  <c r="GW6" i="9"/>
  <c r="GV6" i="9"/>
  <c r="GW7" i="9"/>
  <c r="GV7" i="9"/>
  <c r="GW8" i="9"/>
  <c r="GV8" i="9"/>
  <c r="GW9" i="9"/>
  <c r="GV9" i="9"/>
  <c r="GW10" i="9"/>
  <c r="GV10" i="9"/>
  <c r="GW11" i="9"/>
  <c r="GV11" i="9"/>
  <c r="GW12" i="9"/>
  <c r="GV12" i="9"/>
  <c r="GW13" i="9"/>
  <c r="GV13" i="9"/>
  <c r="GW14" i="9"/>
  <c r="GV14" i="9"/>
  <c r="GW15" i="9"/>
  <c r="GV15" i="9"/>
  <c r="GW16" i="9"/>
  <c r="GV16" i="9"/>
  <c r="GW17" i="9"/>
  <c r="GV17" i="9"/>
  <c r="GW18" i="9"/>
  <c r="GV18" i="9"/>
  <c r="GW19" i="9"/>
  <c r="GV19" i="9"/>
  <c r="GW20" i="9"/>
  <c r="GV20" i="9"/>
  <c r="GW21" i="9"/>
  <c r="GV21" i="9"/>
  <c r="GW22" i="9"/>
  <c r="GV22" i="9"/>
  <c r="GW23" i="9"/>
  <c r="GV23" i="9"/>
  <c r="GW24" i="9"/>
  <c r="GV24" i="9"/>
  <c r="GW25" i="9"/>
  <c r="GV25" i="9"/>
  <c r="GW26" i="9"/>
  <c r="GV26" i="9"/>
  <c r="GW27" i="9"/>
  <c r="GV27" i="9"/>
  <c r="GW28" i="9"/>
  <c r="GV28" i="9"/>
  <c r="GW29" i="9"/>
  <c r="GV29" i="9"/>
  <c r="GW30" i="9"/>
  <c r="GV30" i="9"/>
  <c r="GW31" i="9"/>
  <c r="GV31" i="9"/>
  <c r="GW32" i="9"/>
  <c r="GV32" i="9"/>
  <c r="GW33" i="9"/>
  <c r="GV33" i="9"/>
  <c r="GW34" i="9"/>
  <c r="GV34" i="9"/>
  <c r="GW35" i="9"/>
  <c r="GV35" i="9"/>
  <c r="GW36" i="9"/>
  <c r="GV36" i="9"/>
  <c r="GW37" i="9"/>
  <c r="GV37" i="9"/>
  <c r="GW38" i="9"/>
  <c r="GV38" i="9"/>
  <c r="GW39" i="9"/>
  <c r="GV39" i="9"/>
  <c r="GW40" i="9"/>
  <c r="GV40" i="9"/>
  <c r="GW41" i="9"/>
  <c r="GV41" i="9"/>
  <c r="GW42" i="9"/>
  <c r="GV42" i="9"/>
  <c r="GW43" i="9"/>
  <c r="GV43" i="9"/>
  <c r="GW44" i="9"/>
  <c r="GV44" i="9"/>
  <c r="GW45" i="9"/>
  <c r="GV45" i="9"/>
  <c r="GW46" i="9"/>
  <c r="GV46" i="9"/>
  <c r="GW47" i="9"/>
  <c r="GV47" i="9"/>
  <c r="GW48" i="9"/>
  <c r="GV48" i="9"/>
  <c r="GW49" i="9"/>
  <c r="GV49" i="9"/>
  <c r="GW50" i="9"/>
  <c r="GV50" i="9"/>
  <c r="GW51" i="9"/>
  <c r="GV51" i="9"/>
  <c r="GW52" i="9"/>
  <c r="GV52" i="9"/>
  <c r="GW53" i="9"/>
  <c r="GV53" i="9"/>
  <c r="GW54" i="9"/>
  <c r="GV54" i="9"/>
  <c r="GW55" i="9"/>
  <c r="GV55" i="9"/>
  <c r="GW56" i="9"/>
  <c r="GV56" i="9"/>
  <c r="GW57" i="9"/>
  <c r="GV57" i="9"/>
  <c r="GW58" i="9"/>
  <c r="GV58" i="9"/>
  <c r="GW59" i="9"/>
  <c r="GV59" i="9"/>
  <c r="GW60" i="9"/>
  <c r="GV60" i="9"/>
  <c r="GW61" i="9"/>
  <c r="GV61" i="9"/>
  <c r="GW62" i="9"/>
  <c r="GV62" i="9"/>
  <c r="GW63" i="9"/>
  <c r="GV63" i="9"/>
  <c r="GW64" i="9"/>
  <c r="GV64" i="9"/>
  <c r="GW65" i="9"/>
  <c r="GV65" i="9"/>
  <c r="GW66" i="9"/>
  <c r="GV66" i="9"/>
  <c r="GW67" i="9"/>
  <c r="GV67" i="9"/>
  <c r="GW68" i="9"/>
  <c r="GV68" i="9"/>
  <c r="GW69" i="9"/>
  <c r="GV69" i="9"/>
  <c r="GW70" i="9"/>
  <c r="GV70" i="9"/>
  <c r="GW71" i="9"/>
  <c r="GV71" i="9"/>
  <c r="GW72" i="9"/>
  <c r="GV72" i="9"/>
  <c r="GW73" i="9"/>
  <c r="GV73" i="9"/>
  <c r="GW74" i="9"/>
  <c r="GV74" i="9"/>
  <c r="GW75" i="9"/>
  <c r="GV75" i="9"/>
  <c r="GW76" i="9"/>
  <c r="GV76" i="9"/>
  <c r="GW77" i="9"/>
  <c r="GV77" i="9"/>
  <c r="GW78" i="9"/>
  <c r="GV78" i="9"/>
  <c r="GW79" i="9"/>
  <c r="GV79" i="9"/>
  <c r="GW80" i="9"/>
  <c r="GV80" i="9"/>
  <c r="GW81" i="9"/>
  <c r="GV81" i="9"/>
  <c r="GW82" i="9"/>
  <c r="GV82" i="9"/>
  <c r="GW83" i="9"/>
  <c r="GV83" i="9"/>
  <c r="GW84" i="9"/>
  <c r="GV84" i="9"/>
  <c r="FU4" i="9"/>
  <c r="GB4" i="9"/>
  <c r="FZ4" i="9"/>
  <c r="FU5" i="9"/>
  <c r="FZ5" i="9"/>
  <c r="GB5" i="9"/>
  <c r="FU6" i="9"/>
  <c r="FZ6" i="9"/>
  <c r="GB6" i="9"/>
  <c r="FU7" i="9"/>
  <c r="FZ7" i="9"/>
  <c r="GB7" i="9"/>
  <c r="FU8" i="9"/>
  <c r="FZ8" i="9"/>
  <c r="GB8" i="9"/>
  <c r="FU9" i="9"/>
  <c r="FZ9" i="9"/>
  <c r="GB9" i="9"/>
  <c r="FU10" i="9"/>
  <c r="FZ10" i="9"/>
  <c r="GB10" i="9"/>
  <c r="FU11" i="9"/>
  <c r="FZ11" i="9"/>
  <c r="GB11" i="9"/>
  <c r="FU12" i="9"/>
  <c r="FZ12" i="9"/>
  <c r="GB12" i="9"/>
  <c r="FU13" i="9"/>
  <c r="FZ13" i="9"/>
  <c r="GB13" i="9"/>
  <c r="FU14" i="9"/>
  <c r="FZ14" i="9"/>
  <c r="GB14" i="9"/>
  <c r="FU15" i="9"/>
  <c r="FZ15" i="9"/>
  <c r="GB15" i="9"/>
  <c r="FU16" i="9"/>
  <c r="FZ16" i="9"/>
  <c r="GB16" i="9"/>
  <c r="FU17" i="9"/>
  <c r="FZ17" i="9"/>
  <c r="GB17" i="9"/>
  <c r="FU18" i="9"/>
  <c r="FZ18" i="9"/>
  <c r="GB18" i="9"/>
  <c r="FU19" i="9"/>
  <c r="FZ19" i="9"/>
  <c r="GB19" i="9"/>
  <c r="FU20" i="9"/>
  <c r="FZ20" i="9"/>
  <c r="GB20" i="9"/>
  <c r="FU21" i="9"/>
  <c r="FZ21" i="9"/>
  <c r="GB21" i="9"/>
  <c r="FU22" i="9"/>
  <c r="FZ22" i="9"/>
  <c r="GB22" i="9"/>
  <c r="FU23" i="9"/>
  <c r="FZ23" i="9"/>
  <c r="GB23" i="9"/>
  <c r="FU24" i="9"/>
  <c r="FZ24" i="9"/>
  <c r="GB24" i="9"/>
  <c r="FU25" i="9"/>
  <c r="FZ25" i="9"/>
  <c r="GB25" i="9"/>
  <c r="FU26" i="9"/>
  <c r="FZ26" i="9"/>
  <c r="GB26" i="9"/>
  <c r="FU27" i="9"/>
  <c r="FZ27" i="9"/>
  <c r="GB27" i="9"/>
  <c r="FU28" i="9"/>
  <c r="FZ28" i="9"/>
  <c r="GB28" i="9"/>
  <c r="FU29" i="9"/>
  <c r="FZ29" i="9"/>
  <c r="GB29" i="9"/>
  <c r="FU30" i="9"/>
  <c r="FZ30" i="9"/>
  <c r="GB30" i="9"/>
  <c r="FU31" i="9"/>
  <c r="FZ31" i="9"/>
  <c r="GB31" i="9"/>
  <c r="FU32" i="9"/>
  <c r="FZ32" i="9"/>
  <c r="GB32" i="9"/>
  <c r="FU33" i="9"/>
  <c r="FZ33" i="9"/>
  <c r="GB33" i="9"/>
  <c r="FU34" i="9"/>
  <c r="FZ34" i="9"/>
  <c r="GB34" i="9"/>
  <c r="FU35" i="9"/>
  <c r="FZ35" i="9"/>
  <c r="GB35" i="9"/>
  <c r="FU36" i="9"/>
  <c r="FZ36" i="9"/>
  <c r="GB36" i="9"/>
  <c r="FU37" i="9"/>
  <c r="FZ37" i="9"/>
  <c r="GB37" i="9"/>
  <c r="FU38" i="9"/>
  <c r="FZ38" i="9"/>
  <c r="GB38" i="9"/>
  <c r="FU39" i="9"/>
  <c r="FZ39" i="9"/>
  <c r="GB39" i="9"/>
  <c r="FU40" i="9"/>
  <c r="FZ40" i="9"/>
  <c r="GB40" i="9"/>
  <c r="FU41" i="9"/>
  <c r="FZ41" i="9"/>
  <c r="GB41" i="9"/>
  <c r="FU42" i="9"/>
  <c r="FZ42" i="9"/>
  <c r="GB42" i="9"/>
  <c r="FU43" i="9"/>
  <c r="FZ43" i="9"/>
  <c r="GB43" i="9"/>
  <c r="FU44" i="9"/>
  <c r="FZ44" i="9"/>
  <c r="GB44" i="9"/>
  <c r="FU45" i="9"/>
  <c r="FZ45" i="9"/>
  <c r="GB45" i="9"/>
  <c r="FU46" i="9"/>
  <c r="FZ46" i="9"/>
  <c r="GB46" i="9"/>
  <c r="FU47" i="9"/>
  <c r="FZ47" i="9"/>
  <c r="GB47" i="9"/>
  <c r="FU48" i="9"/>
  <c r="FZ48" i="9"/>
  <c r="GB48" i="9"/>
  <c r="FU49" i="9"/>
  <c r="FZ49" i="9"/>
  <c r="GB49" i="9"/>
  <c r="FU50" i="9"/>
  <c r="FZ50" i="9"/>
  <c r="GB50" i="9"/>
  <c r="FU51" i="9"/>
  <c r="FZ51" i="9"/>
  <c r="GB51" i="9"/>
  <c r="FU52" i="9"/>
  <c r="FZ52" i="9"/>
  <c r="GB52" i="9"/>
  <c r="FU53" i="9"/>
  <c r="FZ53" i="9"/>
  <c r="GB53" i="9"/>
  <c r="FU54" i="9"/>
  <c r="FZ54" i="9"/>
  <c r="GB54" i="9"/>
  <c r="FU55" i="9"/>
  <c r="FZ55" i="9"/>
  <c r="GB55" i="9"/>
  <c r="FU56" i="9"/>
  <c r="FZ56" i="9"/>
  <c r="GB56" i="9"/>
  <c r="FU57" i="9"/>
  <c r="FZ57" i="9"/>
  <c r="GB57" i="9"/>
  <c r="FU58" i="9"/>
  <c r="FZ58" i="9"/>
  <c r="GB58" i="9"/>
  <c r="FU59" i="9"/>
  <c r="FZ59" i="9"/>
  <c r="GB59" i="9"/>
  <c r="FU60" i="9"/>
  <c r="FZ60" i="9"/>
  <c r="GB60" i="9"/>
  <c r="FU61" i="9"/>
  <c r="FZ61" i="9"/>
  <c r="GB61" i="9"/>
  <c r="FU62" i="9"/>
  <c r="FZ62" i="9"/>
  <c r="GB62" i="9"/>
  <c r="FU63" i="9"/>
  <c r="FZ63" i="9"/>
  <c r="GB63" i="9"/>
  <c r="FU64" i="9"/>
  <c r="FZ64" i="9"/>
  <c r="GB64" i="9"/>
  <c r="FU65" i="9"/>
  <c r="FZ65" i="9"/>
  <c r="GB65" i="9"/>
  <c r="FU66" i="9"/>
  <c r="FZ66" i="9"/>
  <c r="GB66" i="9"/>
  <c r="FU67" i="9"/>
  <c r="FZ67" i="9"/>
  <c r="GB67" i="9"/>
  <c r="FU68" i="9"/>
  <c r="FZ68" i="9"/>
  <c r="GB68" i="9"/>
  <c r="FU69" i="9"/>
  <c r="FZ69" i="9"/>
  <c r="GB69" i="9"/>
  <c r="FU70" i="9"/>
  <c r="FZ70" i="9"/>
  <c r="GB70" i="9"/>
  <c r="FU71" i="9"/>
  <c r="FZ71" i="9"/>
  <c r="GB71" i="9"/>
  <c r="FU72" i="9"/>
  <c r="FZ72" i="9"/>
  <c r="GB72" i="9"/>
  <c r="FU73" i="9"/>
  <c r="FZ73" i="9"/>
  <c r="GB73" i="9"/>
  <c r="FU74" i="9"/>
  <c r="FZ74" i="9"/>
  <c r="GB74" i="9"/>
  <c r="FU75" i="9"/>
  <c r="FZ75" i="9"/>
  <c r="GB75" i="9"/>
  <c r="FU76" i="9"/>
  <c r="FZ76" i="9"/>
  <c r="GB76" i="9"/>
  <c r="FU77" i="9"/>
  <c r="FZ77" i="9"/>
  <c r="GB77" i="9"/>
  <c r="FU78" i="9"/>
  <c r="FZ78" i="9"/>
  <c r="GB78" i="9"/>
  <c r="FU79" i="9"/>
  <c r="FZ79" i="9"/>
  <c r="GB79" i="9"/>
  <c r="FU80" i="9"/>
  <c r="FZ80" i="9"/>
  <c r="GB80" i="9"/>
  <c r="FU81" i="9"/>
  <c r="FZ81" i="9"/>
  <c r="GB81" i="9"/>
  <c r="FU82" i="9"/>
  <c r="FZ82" i="9"/>
  <c r="GB82" i="9"/>
  <c r="FU83" i="9"/>
  <c r="FZ83" i="9"/>
  <c r="GB83" i="9"/>
  <c r="FU84" i="9"/>
  <c r="FZ84" i="9"/>
  <c r="GB84" i="9"/>
  <c r="FS4" i="9"/>
  <c r="FR4" i="9"/>
  <c r="FR5" i="9"/>
  <c r="FS5" i="9"/>
  <c r="FR6" i="9"/>
  <c r="FS6" i="9"/>
  <c r="FR7" i="9"/>
  <c r="FS7" i="9"/>
  <c r="FR8" i="9"/>
  <c r="FS8" i="9"/>
  <c r="FR9" i="9"/>
  <c r="FS9" i="9"/>
  <c r="FR10" i="9"/>
  <c r="FS10" i="9"/>
  <c r="FR11" i="9"/>
  <c r="FS11" i="9"/>
  <c r="FR12" i="9"/>
  <c r="FS12" i="9"/>
  <c r="FR13" i="9"/>
  <c r="FS13" i="9"/>
  <c r="FR14" i="9"/>
  <c r="FS14" i="9"/>
  <c r="FR15" i="9"/>
  <c r="FS15" i="9"/>
  <c r="FR16" i="9"/>
  <c r="FS16" i="9"/>
  <c r="FR17" i="9"/>
  <c r="FS17" i="9"/>
  <c r="FR18" i="9"/>
  <c r="FS18" i="9"/>
  <c r="FR19" i="9"/>
  <c r="FS19" i="9"/>
  <c r="FR20" i="9"/>
  <c r="FS20" i="9"/>
  <c r="FR21" i="9"/>
  <c r="FS21" i="9"/>
  <c r="FR22" i="9"/>
  <c r="FS22" i="9"/>
  <c r="FR23" i="9"/>
  <c r="FS23" i="9"/>
  <c r="FR24" i="9"/>
  <c r="FS24" i="9"/>
  <c r="FR25" i="9"/>
  <c r="FS25" i="9"/>
  <c r="FR26" i="9"/>
  <c r="FS26" i="9"/>
  <c r="FR27" i="9"/>
  <c r="FS27" i="9"/>
  <c r="FR28" i="9"/>
  <c r="FS28" i="9"/>
  <c r="FR29" i="9"/>
  <c r="FS29" i="9"/>
  <c r="FR30" i="9"/>
  <c r="FS30" i="9"/>
  <c r="FR31" i="9"/>
  <c r="FS31" i="9"/>
  <c r="FR32" i="9"/>
  <c r="FS32" i="9"/>
  <c r="FR33" i="9"/>
  <c r="FS33" i="9"/>
  <c r="FR34" i="9"/>
  <c r="FS34" i="9"/>
  <c r="FR35" i="9"/>
  <c r="FS35" i="9"/>
  <c r="FR36" i="9"/>
  <c r="FS36" i="9"/>
  <c r="FR37" i="9"/>
  <c r="FS37" i="9"/>
  <c r="FR38" i="9"/>
  <c r="FS38" i="9"/>
  <c r="FR39" i="9"/>
  <c r="FS39" i="9"/>
  <c r="FR40" i="9"/>
  <c r="FS40" i="9"/>
  <c r="FR41" i="9"/>
  <c r="FS41" i="9"/>
  <c r="FR42" i="9"/>
  <c r="FS42" i="9"/>
  <c r="FR43" i="9"/>
  <c r="FS43" i="9"/>
  <c r="FR44" i="9"/>
  <c r="FS44" i="9"/>
  <c r="FR45" i="9"/>
  <c r="FS45" i="9"/>
  <c r="FR46" i="9"/>
  <c r="FS46" i="9"/>
  <c r="FR47" i="9"/>
  <c r="FS47" i="9"/>
  <c r="FR48" i="9"/>
  <c r="FS48" i="9"/>
  <c r="FR49" i="9"/>
  <c r="FS49" i="9"/>
  <c r="FR50" i="9"/>
  <c r="FS50" i="9"/>
  <c r="FR51" i="9"/>
  <c r="FS51" i="9"/>
  <c r="FR52" i="9"/>
  <c r="FS52" i="9"/>
  <c r="FR53" i="9"/>
  <c r="FS53" i="9"/>
  <c r="FR54" i="9"/>
  <c r="FS54" i="9"/>
  <c r="FR55" i="9"/>
  <c r="FS55" i="9"/>
  <c r="FR56" i="9"/>
  <c r="FS56" i="9"/>
  <c r="FR57" i="9"/>
  <c r="FS57" i="9"/>
  <c r="FR58" i="9"/>
  <c r="FS58" i="9"/>
  <c r="FR59" i="9"/>
  <c r="FS59" i="9"/>
  <c r="FR60" i="9"/>
  <c r="FS60" i="9"/>
  <c r="FR61" i="9"/>
  <c r="FS61" i="9"/>
  <c r="FR62" i="9"/>
  <c r="FS62" i="9"/>
  <c r="FR63" i="9"/>
  <c r="FS63" i="9"/>
  <c r="FR64" i="9"/>
  <c r="FS64" i="9"/>
  <c r="FR65" i="9"/>
  <c r="FS65" i="9"/>
  <c r="FR66" i="9"/>
  <c r="FS66" i="9"/>
  <c r="FR67" i="9"/>
  <c r="FS67" i="9"/>
  <c r="FR68" i="9"/>
  <c r="FS68" i="9"/>
  <c r="FR69" i="9"/>
  <c r="FS69" i="9"/>
  <c r="FR70" i="9"/>
  <c r="FS70" i="9"/>
  <c r="FR71" i="9"/>
  <c r="FS71" i="9"/>
  <c r="FR72" i="9"/>
  <c r="FS72" i="9"/>
  <c r="FR73" i="9"/>
  <c r="FS73" i="9"/>
  <c r="FR74" i="9"/>
  <c r="FS74" i="9"/>
  <c r="FR75" i="9"/>
  <c r="FS75" i="9"/>
  <c r="FR76" i="9"/>
  <c r="FS76" i="9"/>
  <c r="FR77" i="9"/>
  <c r="FS77" i="9"/>
  <c r="FR78" i="9"/>
  <c r="FS78" i="9"/>
  <c r="FR79" i="9"/>
  <c r="FS79" i="9"/>
  <c r="FR80" i="9"/>
  <c r="FS80" i="9"/>
  <c r="FR81" i="9"/>
  <c r="FS81" i="9"/>
  <c r="FR82" i="9"/>
  <c r="FS82" i="9"/>
  <c r="FR83" i="9"/>
  <c r="FS83" i="9"/>
  <c r="FR84" i="9"/>
  <c r="FS84" i="9"/>
  <c r="FK4" i="9"/>
  <c r="FI4" i="9"/>
  <c r="FB4" i="9"/>
  <c r="EV4" i="9"/>
  <c r="EQ4" i="9"/>
  <c r="EP4" i="9"/>
  <c r="EO4" i="9"/>
  <c r="EM4" i="9"/>
  <c r="EL4" i="9"/>
  <c r="EE4" i="9"/>
  <c r="EC4" i="9"/>
  <c r="DT4" i="9"/>
  <c r="EF4" i="9"/>
  <c r="FI5" i="9"/>
  <c r="FK5" i="9"/>
  <c r="FB5" i="9"/>
  <c r="EV5" i="9"/>
  <c r="EL5" i="9"/>
  <c r="EM5" i="9"/>
  <c r="EO5" i="9"/>
  <c r="EP5" i="9"/>
  <c r="EQ5" i="9"/>
  <c r="EC5" i="9"/>
  <c r="EE5" i="9"/>
  <c r="DT5" i="9"/>
  <c r="EF5" i="9"/>
  <c r="FI6" i="9"/>
  <c r="FK6" i="9"/>
  <c r="FB6" i="9"/>
  <c r="EV6" i="9"/>
  <c r="EL6" i="9"/>
  <c r="EM6" i="9"/>
  <c r="EO6" i="9"/>
  <c r="EP6" i="9"/>
  <c r="EQ6" i="9"/>
  <c r="EC6" i="9"/>
  <c r="EE6" i="9"/>
  <c r="DT6" i="9"/>
  <c r="EF6" i="9"/>
  <c r="FI7" i="9"/>
  <c r="FK7" i="9"/>
  <c r="FB7" i="9"/>
  <c r="EV7" i="9"/>
  <c r="EL7" i="9"/>
  <c r="EM7" i="9"/>
  <c r="EO7" i="9"/>
  <c r="EP7" i="9"/>
  <c r="EQ7" i="9"/>
  <c r="EC7" i="9"/>
  <c r="EE7" i="9"/>
  <c r="DT7" i="9"/>
  <c r="EF7" i="9"/>
  <c r="FI8" i="9"/>
  <c r="FK8" i="9"/>
  <c r="FB8" i="9"/>
  <c r="EV8" i="9"/>
  <c r="EL8" i="9"/>
  <c r="EM8" i="9"/>
  <c r="EO8" i="9"/>
  <c r="EP8" i="9"/>
  <c r="EQ8" i="9"/>
  <c r="EC8" i="9"/>
  <c r="EE8" i="9"/>
  <c r="DT8" i="9"/>
  <c r="EF8" i="9"/>
  <c r="FI9" i="9"/>
  <c r="FK9" i="9"/>
  <c r="FB9" i="9"/>
  <c r="EV9" i="9"/>
  <c r="EL9" i="9"/>
  <c r="EM9" i="9"/>
  <c r="EO9" i="9"/>
  <c r="EP9" i="9"/>
  <c r="EQ9" i="9"/>
  <c r="EC9" i="9"/>
  <c r="EE9" i="9"/>
  <c r="DT9" i="9"/>
  <c r="EF9" i="9"/>
  <c r="FI10" i="9"/>
  <c r="FK10" i="9"/>
  <c r="FB10" i="9"/>
  <c r="EV10" i="9"/>
  <c r="EL10" i="9"/>
  <c r="EM10" i="9"/>
  <c r="EO10" i="9"/>
  <c r="EP10" i="9"/>
  <c r="EQ10" i="9"/>
  <c r="EC10" i="9"/>
  <c r="EE10" i="9"/>
  <c r="DT10" i="9"/>
  <c r="EF10" i="9"/>
  <c r="FI11" i="9"/>
  <c r="FK11" i="9"/>
  <c r="FB11" i="9"/>
  <c r="EV11" i="9"/>
  <c r="EL11" i="9"/>
  <c r="EM11" i="9"/>
  <c r="EO11" i="9"/>
  <c r="EP11" i="9"/>
  <c r="EQ11" i="9"/>
  <c r="EC11" i="9"/>
  <c r="EE11" i="9"/>
  <c r="DT11" i="9"/>
  <c r="EF11" i="9"/>
  <c r="FI12" i="9"/>
  <c r="FK12" i="9"/>
  <c r="FB12" i="9"/>
  <c r="EV12" i="9"/>
  <c r="EL12" i="9"/>
  <c r="EM12" i="9"/>
  <c r="EO12" i="9"/>
  <c r="EP12" i="9"/>
  <c r="EQ12" i="9"/>
  <c r="EC12" i="9"/>
  <c r="EE12" i="9"/>
  <c r="DT12" i="9"/>
  <c r="EF12" i="9"/>
  <c r="FI13" i="9"/>
  <c r="FK13" i="9"/>
  <c r="FB13" i="9"/>
  <c r="EV13" i="9"/>
  <c r="EL13" i="9"/>
  <c r="EM13" i="9"/>
  <c r="EO13" i="9"/>
  <c r="EP13" i="9"/>
  <c r="EQ13" i="9"/>
  <c r="EC13" i="9"/>
  <c r="EE13" i="9"/>
  <c r="DT13" i="9"/>
  <c r="EF13" i="9"/>
  <c r="FI14" i="9"/>
  <c r="FK14" i="9"/>
  <c r="FB14" i="9"/>
  <c r="EV14" i="9"/>
  <c r="EL14" i="9"/>
  <c r="EM14" i="9"/>
  <c r="EO14" i="9"/>
  <c r="EP14" i="9"/>
  <c r="EQ14" i="9"/>
  <c r="EC14" i="9"/>
  <c r="EE14" i="9"/>
  <c r="DT14" i="9"/>
  <c r="EF14" i="9"/>
  <c r="FI15" i="9"/>
  <c r="FK15" i="9"/>
  <c r="FB15" i="9"/>
  <c r="EV15" i="9"/>
  <c r="EL15" i="9"/>
  <c r="EM15" i="9"/>
  <c r="EO15" i="9"/>
  <c r="EP15" i="9"/>
  <c r="EQ15" i="9"/>
  <c r="EC15" i="9"/>
  <c r="EE15" i="9"/>
  <c r="DT15" i="9"/>
  <c r="EF15" i="9"/>
  <c r="FI16" i="9"/>
  <c r="FK16" i="9"/>
  <c r="FB16" i="9"/>
  <c r="EV16" i="9"/>
  <c r="EL16" i="9"/>
  <c r="EM16" i="9"/>
  <c r="EO16" i="9"/>
  <c r="EP16" i="9"/>
  <c r="EQ16" i="9"/>
  <c r="EC16" i="9"/>
  <c r="EE16" i="9"/>
  <c r="DT16" i="9"/>
  <c r="EF16" i="9"/>
  <c r="FI17" i="9"/>
  <c r="FK17" i="9"/>
  <c r="FB17" i="9"/>
  <c r="EV17" i="9"/>
  <c r="EL17" i="9"/>
  <c r="EM17" i="9"/>
  <c r="EO17" i="9"/>
  <c r="EP17" i="9"/>
  <c r="EQ17" i="9"/>
  <c r="EC17" i="9"/>
  <c r="EE17" i="9"/>
  <c r="DT17" i="9"/>
  <c r="EF17" i="9"/>
  <c r="FI18" i="9"/>
  <c r="FK18" i="9"/>
  <c r="FB18" i="9"/>
  <c r="EV18" i="9"/>
  <c r="EL18" i="9"/>
  <c r="EM18" i="9"/>
  <c r="EO18" i="9"/>
  <c r="EP18" i="9"/>
  <c r="EQ18" i="9"/>
  <c r="EC18" i="9"/>
  <c r="EE18" i="9"/>
  <c r="DT18" i="9"/>
  <c r="EF18" i="9"/>
  <c r="FI19" i="9"/>
  <c r="FK19" i="9"/>
  <c r="FB19" i="9"/>
  <c r="EV19" i="9"/>
  <c r="EL19" i="9"/>
  <c r="EM19" i="9"/>
  <c r="EO19" i="9"/>
  <c r="EP19" i="9"/>
  <c r="EQ19" i="9"/>
  <c r="EC19" i="9"/>
  <c r="EE19" i="9"/>
  <c r="DT19" i="9"/>
  <c r="EF19" i="9"/>
  <c r="FI20" i="9"/>
  <c r="FK20" i="9"/>
  <c r="FB20" i="9"/>
  <c r="EV20" i="9"/>
  <c r="EL20" i="9"/>
  <c r="EM20" i="9"/>
  <c r="EO20" i="9"/>
  <c r="EP20" i="9"/>
  <c r="EQ20" i="9"/>
  <c r="EC20" i="9"/>
  <c r="EE20" i="9"/>
  <c r="DT20" i="9"/>
  <c r="EF20" i="9"/>
  <c r="FI21" i="9"/>
  <c r="FK21" i="9"/>
  <c r="FB21" i="9"/>
  <c r="EV21" i="9"/>
  <c r="EL21" i="9"/>
  <c r="EM21" i="9"/>
  <c r="EO21" i="9"/>
  <c r="EP21" i="9"/>
  <c r="EQ21" i="9"/>
  <c r="EC21" i="9"/>
  <c r="EE21" i="9"/>
  <c r="DT21" i="9"/>
  <c r="EF21" i="9"/>
  <c r="FI22" i="9"/>
  <c r="FK22" i="9"/>
  <c r="FB22" i="9"/>
  <c r="EV22" i="9"/>
  <c r="EL22" i="9"/>
  <c r="EM22" i="9"/>
  <c r="EO22" i="9"/>
  <c r="EP22" i="9"/>
  <c r="EQ22" i="9"/>
  <c r="EC22" i="9"/>
  <c r="EE22" i="9"/>
  <c r="DT22" i="9"/>
  <c r="EF22" i="9"/>
  <c r="FI23" i="9"/>
  <c r="FK23" i="9"/>
  <c r="FB23" i="9"/>
  <c r="EV23" i="9"/>
  <c r="EL23" i="9"/>
  <c r="EM23" i="9"/>
  <c r="EO23" i="9"/>
  <c r="EP23" i="9"/>
  <c r="EQ23" i="9"/>
  <c r="EC23" i="9"/>
  <c r="EE23" i="9"/>
  <c r="DT23" i="9"/>
  <c r="EF23" i="9"/>
  <c r="FI24" i="9"/>
  <c r="FK24" i="9"/>
  <c r="FB24" i="9"/>
  <c r="EV24" i="9"/>
  <c r="EL24" i="9"/>
  <c r="EM24" i="9"/>
  <c r="EO24" i="9"/>
  <c r="EP24" i="9"/>
  <c r="EQ24" i="9"/>
  <c r="EC24" i="9"/>
  <c r="EE24" i="9"/>
  <c r="DT24" i="9"/>
  <c r="EF24" i="9"/>
  <c r="FI25" i="9"/>
  <c r="FK25" i="9"/>
  <c r="FB25" i="9"/>
  <c r="EV25" i="9"/>
  <c r="EL25" i="9"/>
  <c r="EM25" i="9"/>
  <c r="EO25" i="9"/>
  <c r="EP25" i="9"/>
  <c r="EQ25" i="9"/>
  <c r="EC25" i="9"/>
  <c r="EE25" i="9"/>
  <c r="DT25" i="9"/>
  <c r="EF25" i="9"/>
  <c r="FI26" i="9"/>
  <c r="FK26" i="9"/>
  <c r="FB26" i="9"/>
  <c r="EV26" i="9"/>
  <c r="EL26" i="9"/>
  <c r="EM26" i="9"/>
  <c r="EO26" i="9"/>
  <c r="EP26" i="9"/>
  <c r="EQ26" i="9"/>
  <c r="EC26" i="9"/>
  <c r="EE26" i="9"/>
  <c r="DT26" i="9"/>
  <c r="EF26" i="9"/>
  <c r="FI27" i="9"/>
  <c r="FK27" i="9"/>
  <c r="FB27" i="9"/>
  <c r="EV27" i="9"/>
  <c r="EL27" i="9"/>
  <c r="EM27" i="9"/>
  <c r="EO27" i="9"/>
  <c r="EP27" i="9"/>
  <c r="EQ27" i="9"/>
  <c r="EC27" i="9"/>
  <c r="EE27" i="9"/>
  <c r="DT27" i="9"/>
  <c r="EF27" i="9"/>
  <c r="FI28" i="9"/>
  <c r="FK28" i="9"/>
  <c r="FB28" i="9"/>
  <c r="EV28" i="9"/>
  <c r="EL28" i="9"/>
  <c r="EM28" i="9"/>
  <c r="EO28" i="9"/>
  <c r="EP28" i="9"/>
  <c r="EQ28" i="9"/>
  <c r="EC28" i="9"/>
  <c r="EE28" i="9"/>
  <c r="DT28" i="9"/>
  <c r="EF28" i="9"/>
  <c r="FI29" i="9"/>
  <c r="FK29" i="9"/>
  <c r="FB29" i="9"/>
  <c r="EV29" i="9"/>
  <c r="EL29" i="9"/>
  <c r="EM29" i="9"/>
  <c r="EO29" i="9"/>
  <c r="EP29" i="9"/>
  <c r="EQ29" i="9"/>
  <c r="EC29" i="9"/>
  <c r="EE29" i="9"/>
  <c r="DT29" i="9"/>
  <c r="EF29" i="9"/>
  <c r="FI30" i="9"/>
  <c r="FK30" i="9"/>
  <c r="FB30" i="9"/>
  <c r="EV30" i="9"/>
  <c r="EL30" i="9"/>
  <c r="EM30" i="9"/>
  <c r="EO30" i="9"/>
  <c r="EP30" i="9"/>
  <c r="EQ30" i="9"/>
  <c r="EC30" i="9"/>
  <c r="EE30" i="9"/>
  <c r="DT30" i="9"/>
  <c r="EF30" i="9"/>
  <c r="FI31" i="9"/>
  <c r="FK31" i="9"/>
  <c r="FB31" i="9"/>
  <c r="EV31" i="9"/>
  <c r="EL31" i="9"/>
  <c r="EM31" i="9"/>
  <c r="EO31" i="9"/>
  <c r="EP31" i="9"/>
  <c r="EQ31" i="9"/>
  <c r="EC31" i="9"/>
  <c r="EE31" i="9"/>
  <c r="DT31" i="9"/>
  <c r="EF31" i="9"/>
  <c r="FI32" i="9"/>
  <c r="FK32" i="9"/>
  <c r="FB32" i="9"/>
  <c r="EV32" i="9"/>
  <c r="EL32" i="9"/>
  <c r="EM32" i="9"/>
  <c r="EO32" i="9"/>
  <c r="EP32" i="9"/>
  <c r="EQ32" i="9"/>
  <c r="EC32" i="9"/>
  <c r="EE32" i="9"/>
  <c r="DT32" i="9"/>
  <c r="EF32" i="9"/>
  <c r="FI33" i="9"/>
  <c r="FK33" i="9"/>
  <c r="FB33" i="9"/>
  <c r="EV33" i="9"/>
  <c r="EL33" i="9"/>
  <c r="EM33" i="9"/>
  <c r="EO33" i="9"/>
  <c r="EP33" i="9"/>
  <c r="EQ33" i="9"/>
  <c r="EC33" i="9"/>
  <c r="EE33" i="9"/>
  <c r="DT33" i="9"/>
  <c r="EF33" i="9"/>
  <c r="FI34" i="9"/>
  <c r="FK34" i="9"/>
  <c r="FB34" i="9"/>
  <c r="EV34" i="9"/>
  <c r="EL34" i="9"/>
  <c r="EM34" i="9"/>
  <c r="EO34" i="9"/>
  <c r="EP34" i="9"/>
  <c r="EQ34" i="9"/>
  <c r="EC34" i="9"/>
  <c r="EE34" i="9"/>
  <c r="DT34" i="9"/>
  <c r="EF34" i="9"/>
  <c r="FI35" i="9"/>
  <c r="FK35" i="9"/>
  <c r="FB35" i="9"/>
  <c r="EV35" i="9"/>
  <c r="EL35" i="9"/>
  <c r="EM35" i="9"/>
  <c r="EO35" i="9"/>
  <c r="EP35" i="9"/>
  <c r="EQ35" i="9"/>
  <c r="EC35" i="9"/>
  <c r="EE35" i="9"/>
  <c r="DT35" i="9"/>
  <c r="EF35" i="9"/>
  <c r="FI36" i="9"/>
  <c r="FK36" i="9"/>
  <c r="FB36" i="9"/>
  <c r="EV36" i="9"/>
  <c r="EL36" i="9"/>
  <c r="EM36" i="9"/>
  <c r="EO36" i="9"/>
  <c r="EP36" i="9"/>
  <c r="EQ36" i="9"/>
  <c r="EC36" i="9"/>
  <c r="EE36" i="9"/>
  <c r="DT36" i="9"/>
  <c r="EF36" i="9"/>
  <c r="FI37" i="9"/>
  <c r="FK37" i="9"/>
  <c r="FB37" i="9"/>
  <c r="EV37" i="9"/>
  <c r="EL37" i="9"/>
  <c r="EM37" i="9"/>
  <c r="EO37" i="9"/>
  <c r="EP37" i="9"/>
  <c r="EQ37" i="9"/>
  <c r="EC37" i="9"/>
  <c r="EE37" i="9"/>
  <c r="DT37" i="9"/>
  <c r="EF37" i="9"/>
  <c r="FI38" i="9"/>
  <c r="FK38" i="9"/>
  <c r="FB38" i="9"/>
  <c r="EV38" i="9"/>
  <c r="EL38" i="9"/>
  <c r="EM38" i="9"/>
  <c r="EO38" i="9"/>
  <c r="EP38" i="9"/>
  <c r="EQ38" i="9"/>
  <c r="EC38" i="9"/>
  <c r="EE38" i="9"/>
  <c r="DT38" i="9"/>
  <c r="EF38" i="9"/>
  <c r="FI39" i="9"/>
  <c r="FK39" i="9"/>
  <c r="FB39" i="9"/>
  <c r="EV39" i="9"/>
  <c r="EL39" i="9"/>
  <c r="EM39" i="9"/>
  <c r="EO39" i="9"/>
  <c r="EP39" i="9"/>
  <c r="EQ39" i="9"/>
  <c r="EC39" i="9"/>
  <c r="EE39" i="9"/>
  <c r="DT39" i="9"/>
  <c r="EF39" i="9"/>
  <c r="FI40" i="9"/>
  <c r="FK40" i="9"/>
  <c r="FB40" i="9"/>
  <c r="EV40" i="9"/>
  <c r="EL40" i="9"/>
  <c r="EM40" i="9"/>
  <c r="EO40" i="9"/>
  <c r="EP40" i="9"/>
  <c r="EQ40" i="9"/>
  <c r="EC40" i="9"/>
  <c r="EE40" i="9"/>
  <c r="DT40" i="9"/>
  <c r="EF40" i="9"/>
  <c r="FI41" i="9"/>
  <c r="FK41" i="9"/>
  <c r="FB41" i="9"/>
  <c r="EV41" i="9"/>
  <c r="EL41" i="9"/>
  <c r="EM41" i="9"/>
  <c r="EO41" i="9"/>
  <c r="EP41" i="9"/>
  <c r="EQ41" i="9"/>
  <c r="EC41" i="9"/>
  <c r="EE41" i="9"/>
  <c r="DT41" i="9"/>
  <c r="EF41" i="9"/>
  <c r="FI42" i="9"/>
  <c r="FK42" i="9"/>
  <c r="FB42" i="9"/>
  <c r="EV42" i="9"/>
  <c r="EL42" i="9"/>
  <c r="EM42" i="9"/>
  <c r="EO42" i="9"/>
  <c r="EP42" i="9"/>
  <c r="EQ42" i="9"/>
  <c r="EC42" i="9"/>
  <c r="EE42" i="9"/>
  <c r="DT42" i="9"/>
  <c r="EF42" i="9"/>
  <c r="FI43" i="9"/>
  <c r="FK43" i="9"/>
  <c r="FB43" i="9"/>
  <c r="EV43" i="9"/>
  <c r="EL43" i="9"/>
  <c r="EM43" i="9"/>
  <c r="EO43" i="9"/>
  <c r="EP43" i="9"/>
  <c r="EQ43" i="9"/>
  <c r="EC43" i="9"/>
  <c r="EE43" i="9"/>
  <c r="DT43" i="9"/>
  <c r="EF43" i="9"/>
  <c r="FI44" i="9"/>
  <c r="FK44" i="9"/>
  <c r="FB44" i="9"/>
  <c r="EV44" i="9"/>
  <c r="EL44" i="9"/>
  <c r="EM44" i="9"/>
  <c r="EO44" i="9"/>
  <c r="EP44" i="9"/>
  <c r="EQ44" i="9"/>
  <c r="EC44" i="9"/>
  <c r="EE44" i="9"/>
  <c r="DT44" i="9"/>
  <c r="EF44" i="9"/>
  <c r="FI45" i="9"/>
  <c r="FK45" i="9"/>
  <c r="FB45" i="9"/>
  <c r="EV45" i="9"/>
  <c r="EL45" i="9"/>
  <c r="EM45" i="9"/>
  <c r="EO45" i="9"/>
  <c r="EP45" i="9"/>
  <c r="EQ45" i="9"/>
  <c r="EC45" i="9"/>
  <c r="EE45" i="9"/>
  <c r="DT45" i="9"/>
  <c r="EF45" i="9"/>
  <c r="FI46" i="9"/>
  <c r="FK46" i="9"/>
  <c r="FB46" i="9"/>
  <c r="EV46" i="9"/>
  <c r="EL46" i="9"/>
  <c r="EM46" i="9"/>
  <c r="EO46" i="9"/>
  <c r="EP46" i="9"/>
  <c r="EQ46" i="9"/>
  <c r="EC46" i="9"/>
  <c r="EE46" i="9"/>
  <c r="DT46" i="9"/>
  <c r="EF46" i="9"/>
  <c r="FI47" i="9"/>
  <c r="FK47" i="9"/>
  <c r="FB47" i="9"/>
  <c r="EV47" i="9"/>
  <c r="EL47" i="9"/>
  <c r="EM47" i="9"/>
  <c r="EO47" i="9"/>
  <c r="EP47" i="9"/>
  <c r="EQ47" i="9"/>
  <c r="EC47" i="9"/>
  <c r="EE47" i="9"/>
  <c r="DT47" i="9"/>
  <c r="EF47" i="9"/>
  <c r="FI48" i="9"/>
  <c r="FK48" i="9"/>
  <c r="FB48" i="9"/>
  <c r="EV48" i="9"/>
  <c r="EL48" i="9"/>
  <c r="EM48" i="9"/>
  <c r="EO48" i="9"/>
  <c r="EP48" i="9"/>
  <c r="EQ48" i="9"/>
  <c r="EC48" i="9"/>
  <c r="EE48" i="9"/>
  <c r="DT48" i="9"/>
  <c r="EF48" i="9"/>
  <c r="FI49" i="9"/>
  <c r="FK49" i="9"/>
  <c r="FB49" i="9"/>
  <c r="EV49" i="9"/>
  <c r="EL49" i="9"/>
  <c r="EM49" i="9"/>
  <c r="EO49" i="9"/>
  <c r="EP49" i="9"/>
  <c r="EQ49" i="9"/>
  <c r="EC49" i="9"/>
  <c r="EE49" i="9"/>
  <c r="DT49" i="9"/>
  <c r="EF49" i="9"/>
  <c r="FI50" i="9"/>
  <c r="FK50" i="9"/>
  <c r="FB50" i="9"/>
  <c r="EV50" i="9"/>
  <c r="EL50" i="9"/>
  <c r="EM50" i="9"/>
  <c r="EO50" i="9"/>
  <c r="EP50" i="9"/>
  <c r="EQ50" i="9"/>
  <c r="EC50" i="9"/>
  <c r="EE50" i="9"/>
  <c r="DT50" i="9"/>
  <c r="EF50" i="9"/>
  <c r="FI51" i="9"/>
  <c r="FK51" i="9"/>
  <c r="FB51" i="9"/>
  <c r="EV51" i="9"/>
  <c r="EL51" i="9"/>
  <c r="EM51" i="9"/>
  <c r="EO51" i="9"/>
  <c r="EP51" i="9"/>
  <c r="EQ51" i="9"/>
  <c r="EC51" i="9"/>
  <c r="EE51" i="9"/>
  <c r="DT51" i="9"/>
  <c r="EF51" i="9"/>
  <c r="FI52" i="9"/>
  <c r="FK52" i="9"/>
  <c r="FB52" i="9"/>
  <c r="EV52" i="9"/>
  <c r="EL52" i="9"/>
  <c r="EM52" i="9"/>
  <c r="EO52" i="9"/>
  <c r="EP52" i="9"/>
  <c r="EQ52" i="9"/>
  <c r="EC52" i="9"/>
  <c r="EE52" i="9"/>
  <c r="DT52" i="9"/>
  <c r="EF52" i="9"/>
  <c r="FI53" i="9"/>
  <c r="FK53" i="9"/>
  <c r="FB53" i="9"/>
  <c r="EV53" i="9"/>
  <c r="EL53" i="9"/>
  <c r="EM53" i="9"/>
  <c r="EO53" i="9"/>
  <c r="EP53" i="9"/>
  <c r="EQ53" i="9"/>
  <c r="EC53" i="9"/>
  <c r="EE53" i="9"/>
  <c r="DT53" i="9"/>
  <c r="EF53" i="9"/>
  <c r="FI54" i="9"/>
  <c r="FK54" i="9"/>
  <c r="FB54" i="9"/>
  <c r="EV54" i="9"/>
  <c r="EL54" i="9"/>
  <c r="EM54" i="9"/>
  <c r="EO54" i="9"/>
  <c r="EP54" i="9"/>
  <c r="EQ54" i="9"/>
  <c r="EC54" i="9"/>
  <c r="EE54" i="9"/>
  <c r="DT54" i="9"/>
  <c r="EF54" i="9"/>
  <c r="FI55" i="9"/>
  <c r="FK55" i="9"/>
  <c r="FB55" i="9"/>
  <c r="EV55" i="9"/>
  <c r="EL55" i="9"/>
  <c r="EM55" i="9"/>
  <c r="EO55" i="9"/>
  <c r="EP55" i="9"/>
  <c r="EQ55" i="9"/>
  <c r="EC55" i="9"/>
  <c r="EE55" i="9"/>
  <c r="DT55" i="9"/>
  <c r="EF55" i="9"/>
  <c r="FI56" i="9"/>
  <c r="FK56" i="9"/>
  <c r="FB56" i="9"/>
  <c r="EV56" i="9"/>
  <c r="EL56" i="9"/>
  <c r="EM56" i="9"/>
  <c r="EO56" i="9"/>
  <c r="EP56" i="9"/>
  <c r="EQ56" i="9"/>
  <c r="EC56" i="9"/>
  <c r="EE56" i="9"/>
  <c r="DT56" i="9"/>
  <c r="EF56" i="9"/>
  <c r="FI57" i="9"/>
  <c r="FK57" i="9"/>
  <c r="FB57" i="9"/>
  <c r="EV57" i="9"/>
  <c r="EL57" i="9"/>
  <c r="EM57" i="9"/>
  <c r="EO57" i="9"/>
  <c r="EP57" i="9"/>
  <c r="EQ57" i="9"/>
  <c r="EC57" i="9"/>
  <c r="EE57" i="9"/>
  <c r="DT57" i="9"/>
  <c r="EF57" i="9"/>
  <c r="FI58" i="9"/>
  <c r="FK58" i="9"/>
  <c r="FB58" i="9"/>
  <c r="EV58" i="9"/>
  <c r="EL58" i="9"/>
  <c r="EM58" i="9"/>
  <c r="EO58" i="9"/>
  <c r="EP58" i="9"/>
  <c r="EQ58" i="9"/>
  <c r="EC58" i="9"/>
  <c r="EE58" i="9"/>
  <c r="DT58" i="9"/>
  <c r="EF58" i="9"/>
  <c r="FI59" i="9"/>
  <c r="FK59" i="9"/>
  <c r="FB59" i="9"/>
  <c r="EV59" i="9"/>
  <c r="EL59" i="9"/>
  <c r="EM59" i="9"/>
  <c r="EO59" i="9"/>
  <c r="EP59" i="9"/>
  <c r="EQ59" i="9"/>
  <c r="EC59" i="9"/>
  <c r="EE59" i="9"/>
  <c r="DT59" i="9"/>
  <c r="EF59" i="9"/>
  <c r="FI60" i="9"/>
  <c r="FK60" i="9"/>
  <c r="FB60" i="9"/>
  <c r="EV60" i="9"/>
  <c r="EL60" i="9"/>
  <c r="EM60" i="9"/>
  <c r="EO60" i="9"/>
  <c r="EP60" i="9"/>
  <c r="EQ60" i="9"/>
  <c r="EC60" i="9"/>
  <c r="EE60" i="9"/>
  <c r="DT60" i="9"/>
  <c r="EF60" i="9"/>
  <c r="FI61" i="9"/>
  <c r="FK61" i="9"/>
  <c r="FB61" i="9"/>
  <c r="EV61" i="9"/>
  <c r="EL61" i="9"/>
  <c r="EM61" i="9"/>
  <c r="EO61" i="9"/>
  <c r="EP61" i="9"/>
  <c r="EQ61" i="9"/>
  <c r="EC61" i="9"/>
  <c r="EE61" i="9"/>
  <c r="DT61" i="9"/>
  <c r="EF61" i="9"/>
  <c r="FI62" i="9"/>
  <c r="FK62" i="9"/>
  <c r="FB62" i="9"/>
  <c r="EV62" i="9"/>
  <c r="EL62" i="9"/>
  <c r="EM62" i="9"/>
  <c r="EO62" i="9"/>
  <c r="EP62" i="9"/>
  <c r="EQ62" i="9"/>
  <c r="EC62" i="9"/>
  <c r="EE62" i="9"/>
  <c r="DT62" i="9"/>
  <c r="EF62" i="9"/>
  <c r="FI63" i="9"/>
  <c r="FK63" i="9"/>
  <c r="FB63" i="9"/>
  <c r="EV63" i="9"/>
  <c r="EL63" i="9"/>
  <c r="EM63" i="9"/>
  <c r="EO63" i="9"/>
  <c r="EP63" i="9"/>
  <c r="EQ63" i="9"/>
  <c r="EC63" i="9"/>
  <c r="EE63" i="9"/>
  <c r="DT63" i="9"/>
  <c r="EF63" i="9"/>
  <c r="FI64" i="9"/>
  <c r="FK64" i="9"/>
  <c r="FB64" i="9"/>
  <c r="EV64" i="9"/>
  <c r="EL64" i="9"/>
  <c r="EM64" i="9"/>
  <c r="EO64" i="9"/>
  <c r="EP64" i="9"/>
  <c r="EQ64" i="9"/>
  <c r="EC64" i="9"/>
  <c r="EE64" i="9"/>
  <c r="DT64" i="9"/>
  <c r="EF64" i="9"/>
  <c r="FI65" i="9"/>
  <c r="FK65" i="9"/>
  <c r="FB65" i="9"/>
  <c r="EV65" i="9"/>
  <c r="EL65" i="9"/>
  <c r="EM65" i="9"/>
  <c r="EO65" i="9"/>
  <c r="EP65" i="9"/>
  <c r="EQ65" i="9"/>
  <c r="EC65" i="9"/>
  <c r="EE65" i="9"/>
  <c r="DT65" i="9"/>
  <c r="EF65" i="9"/>
  <c r="FI66" i="9"/>
  <c r="FK66" i="9"/>
  <c r="FB66" i="9"/>
  <c r="EV66" i="9"/>
  <c r="EL66" i="9"/>
  <c r="EM66" i="9"/>
  <c r="EO66" i="9"/>
  <c r="EP66" i="9"/>
  <c r="EQ66" i="9"/>
  <c r="EC66" i="9"/>
  <c r="EE66" i="9"/>
  <c r="DT66" i="9"/>
  <c r="EF66" i="9"/>
  <c r="FI67" i="9"/>
  <c r="FK67" i="9"/>
  <c r="FB67" i="9"/>
  <c r="EV67" i="9"/>
  <c r="EL67" i="9"/>
  <c r="EM67" i="9"/>
  <c r="EO67" i="9"/>
  <c r="EP67" i="9"/>
  <c r="EQ67" i="9"/>
  <c r="EC67" i="9"/>
  <c r="EE67" i="9"/>
  <c r="DT67" i="9"/>
  <c r="EF67" i="9"/>
  <c r="FI68" i="9"/>
  <c r="FK68" i="9"/>
  <c r="FB68" i="9"/>
  <c r="EV68" i="9"/>
  <c r="EL68" i="9"/>
  <c r="EM68" i="9"/>
  <c r="EO68" i="9"/>
  <c r="EP68" i="9"/>
  <c r="EQ68" i="9"/>
  <c r="EC68" i="9"/>
  <c r="EE68" i="9"/>
  <c r="DT68" i="9"/>
  <c r="EF68" i="9"/>
  <c r="FI69" i="9"/>
  <c r="FK69" i="9"/>
  <c r="FB69" i="9"/>
  <c r="EV69" i="9"/>
  <c r="EL69" i="9"/>
  <c r="EM69" i="9"/>
  <c r="EO69" i="9"/>
  <c r="EP69" i="9"/>
  <c r="EQ69" i="9"/>
  <c r="EC69" i="9"/>
  <c r="EE69" i="9"/>
  <c r="DT69" i="9"/>
  <c r="EF69" i="9"/>
  <c r="FI70" i="9"/>
  <c r="FK70" i="9"/>
  <c r="FB70" i="9"/>
  <c r="EV70" i="9"/>
  <c r="EL70" i="9"/>
  <c r="EM70" i="9"/>
  <c r="EO70" i="9"/>
  <c r="EP70" i="9"/>
  <c r="EQ70" i="9"/>
  <c r="EC70" i="9"/>
  <c r="EE70" i="9"/>
  <c r="DT70" i="9"/>
  <c r="EF70" i="9"/>
  <c r="FI71" i="9"/>
  <c r="FK71" i="9"/>
  <c r="FB71" i="9"/>
  <c r="EV71" i="9"/>
  <c r="EL71" i="9"/>
  <c r="EM71" i="9"/>
  <c r="EO71" i="9"/>
  <c r="EP71" i="9"/>
  <c r="EQ71" i="9"/>
  <c r="EC71" i="9"/>
  <c r="EE71" i="9"/>
  <c r="DT71" i="9"/>
  <c r="EF71" i="9"/>
  <c r="FI72" i="9"/>
  <c r="FK72" i="9"/>
  <c r="FB72" i="9"/>
  <c r="EV72" i="9"/>
  <c r="EL72" i="9"/>
  <c r="EM72" i="9"/>
  <c r="EO72" i="9"/>
  <c r="EP72" i="9"/>
  <c r="EQ72" i="9"/>
  <c r="EC72" i="9"/>
  <c r="EE72" i="9"/>
  <c r="DT72" i="9"/>
  <c r="EF72" i="9"/>
  <c r="FI73" i="9"/>
  <c r="FK73" i="9"/>
  <c r="FB73" i="9"/>
  <c r="EV73" i="9"/>
  <c r="EL73" i="9"/>
  <c r="EM73" i="9"/>
  <c r="EO73" i="9"/>
  <c r="EP73" i="9"/>
  <c r="EQ73" i="9"/>
  <c r="EC73" i="9"/>
  <c r="EE73" i="9"/>
  <c r="DT73" i="9"/>
  <c r="EF73" i="9"/>
  <c r="FI74" i="9"/>
  <c r="FK74" i="9"/>
  <c r="FB74" i="9"/>
  <c r="EV74" i="9"/>
  <c r="EL74" i="9"/>
  <c r="EM74" i="9"/>
  <c r="EO74" i="9"/>
  <c r="EP74" i="9"/>
  <c r="EQ74" i="9"/>
  <c r="EC74" i="9"/>
  <c r="EE74" i="9"/>
  <c r="DT74" i="9"/>
  <c r="EF74" i="9"/>
  <c r="FI75" i="9"/>
  <c r="FK75" i="9"/>
  <c r="FB75" i="9"/>
  <c r="EV75" i="9"/>
  <c r="EL75" i="9"/>
  <c r="EM75" i="9"/>
  <c r="EO75" i="9"/>
  <c r="EP75" i="9"/>
  <c r="EQ75" i="9"/>
  <c r="EC75" i="9"/>
  <c r="EE75" i="9"/>
  <c r="DT75" i="9"/>
  <c r="EF75" i="9"/>
  <c r="FI76" i="9"/>
  <c r="FK76" i="9"/>
  <c r="FB76" i="9"/>
  <c r="EV76" i="9"/>
  <c r="EL76" i="9"/>
  <c r="EM76" i="9"/>
  <c r="EO76" i="9"/>
  <c r="EP76" i="9"/>
  <c r="EQ76" i="9"/>
  <c r="EC76" i="9"/>
  <c r="EE76" i="9"/>
  <c r="DT76" i="9"/>
  <c r="EF76" i="9"/>
  <c r="FI77" i="9"/>
  <c r="FK77" i="9"/>
  <c r="FB77" i="9"/>
  <c r="EV77" i="9"/>
  <c r="EL77" i="9"/>
  <c r="EM77" i="9"/>
  <c r="EO77" i="9"/>
  <c r="EP77" i="9"/>
  <c r="EQ77" i="9"/>
  <c r="EC77" i="9"/>
  <c r="EE77" i="9"/>
  <c r="DT77" i="9"/>
  <c r="EF77" i="9"/>
  <c r="FI78" i="9"/>
  <c r="FK78" i="9"/>
  <c r="FB78" i="9"/>
  <c r="EV78" i="9"/>
  <c r="EL78" i="9"/>
  <c r="EM78" i="9"/>
  <c r="EO78" i="9"/>
  <c r="EP78" i="9"/>
  <c r="EQ78" i="9"/>
  <c r="EC78" i="9"/>
  <c r="EE78" i="9"/>
  <c r="DT78" i="9"/>
  <c r="EF78" i="9"/>
  <c r="FI79" i="9"/>
  <c r="FK79" i="9"/>
  <c r="FB79" i="9"/>
  <c r="EV79" i="9"/>
  <c r="EL79" i="9"/>
  <c r="EM79" i="9"/>
  <c r="EO79" i="9"/>
  <c r="EP79" i="9"/>
  <c r="EQ79" i="9"/>
  <c r="EC79" i="9"/>
  <c r="EE79" i="9"/>
  <c r="DT79" i="9"/>
  <c r="EF79" i="9"/>
  <c r="FI80" i="9"/>
  <c r="FK80" i="9"/>
  <c r="FB80" i="9"/>
  <c r="EV80" i="9"/>
  <c r="EL80" i="9"/>
  <c r="EM80" i="9"/>
  <c r="EO80" i="9"/>
  <c r="EP80" i="9"/>
  <c r="EQ80" i="9"/>
  <c r="EC80" i="9"/>
  <c r="EE80" i="9"/>
  <c r="DT80" i="9"/>
  <c r="EF80" i="9"/>
  <c r="FI81" i="9"/>
  <c r="FK81" i="9"/>
  <c r="FB81" i="9"/>
  <c r="EV81" i="9"/>
  <c r="EL81" i="9"/>
  <c r="EM81" i="9"/>
  <c r="EO81" i="9"/>
  <c r="EP81" i="9"/>
  <c r="EQ81" i="9"/>
  <c r="EC81" i="9"/>
  <c r="EE81" i="9"/>
  <c r="DT81" i="9"/>
  <c r="EF81" i="9"/>
  <c r="FI82" i="9"/>
  <c r="FK82" i="9"/>
  <c r="FB82" i="9"/>
  <c r="EV82" i="9"/>
  <c r="EL82" i="9"/>
  <c r="EM82" i="9"/>
  <c r="EO82" i="9"/>
  <c r="EP82" i="9"/>
  <c r="EQ82" i="9"/>
  <c r="EC82" i="9"/>
  <c r="EE82" i="9"/>
  <c r="DT82" i="9"/>
  <c r="EF82" i="9"/>
  <c r="FI83" i="9"/>
  <c r="FK83" i="9"/>
  <c r="FB83" i="9"/>
  <c r="EV83" i="9"/>
  <c r="EL83" i="9"/>
  <c r="EM83" i="9"/>
  <c r="EO83" i="9"/>
  <c r="EP83" i="9"/>
  <c r="EQ83" i="9"/>
  <c r="EC83" i="9"/>
  <c r="EE83" i="9"/>
  <c r="DT83" i="9"/>
  <c r="EF83" i="9"/>
  <c r="FI84" i="9"/>
  <c r="FK84" i="9"/>
  <c r="FB84" i="9"/>
  <c r="EV84" i="9"/>
  <c r="EL84" i="9"/>
  <c r="EM84" i="9"/>
  <c r="EO84" i="9"/>
  <c r="EP84" i="9"/>
  <c r="EQ84" i="9"/>
  <c r="EC84" i="9"/>
  <c r="EE84" i="9"/>
  <c r="DT84" i="9"/>
  <c r="EF84" i="9"/>
  <c r="E234" i="2"/>
  <c r="D234" i="2"/>
  <c r="D232" i="2"/>
  <c r="D223" i="2"/>
  <c r="D221" i="2"/>
  <c r="E223" i="2"/>
  <c r="S199" i="2"/>
  <c r="Q199" i="2"/>
  <c r="G199" i="2"/>
  <c r="S198" i="2"/>
  <c r="Q198" i="2"/>
  <c r="G198" i="2"/>
  <c r="E198" i="2"/>
  <c r="E183" i="2"/>
  <c r="E181" i="2"/>
  <c r="E177" i="2"/>
  <c r="D183" i="2"/>
  <c r="D181" i="2"/>
  <c r="D177" i="2"/>
  <c r="D176" i="2"/>
  <c r="Z153" i="2"/>
  <c r="K153" i="2"/>
  <c r="G153" i="2"/>
  <c r="Z154" i="2"/>
  <c r="K154" i="2"/>
  <c r="E147" i="2"/>
  <c r="E144" i="2"/>
  <c r="D147" i="2"/>
  <c r="D144" i="2"/>
  <c r="D140" i="2"/>
  <c r="S118" i="2"/>
  <c r="O118" i="2"/>
  <c r="G118" i="2"/>
  <c r="S129" i="2"/>
  <c r="S127" i="2"/>
  <c r="S125" i="2"/>
  <c r="S123" i="2"/>
  <c r="S121" i="2"/>
  <c r="S119" i="2"/>
  <c r="S117" i="2"/>
  <c r="O117" i="2"/>
  <c r="G117" i="2"/>
  <c r="E110" i="2"/>
  <c r="E109" i="2"/>
  <c r="E108" i="2"/>
  <c r="D110" i="2"/>
  <c r="D109" i="2"/>
  <c r="D108" i="2"/>
  <c r="D107" i="2"/>
  <c r="D101" i="2"/>
  <c r="D100" i="2"/>
  <c r="D99" i="2"/>
  <c r="D97" i="2"/>
  <c r="D95" i="2"/>
  <c r="D94" i="2"/>
  <c r="D93" i="2"/>
  <c r="E101" i="2"/>
  <c r="E100" i="2"/>
  <c r="E99" i="2"/>
  <c r="E97" i="2"/>
  <c r="E95" i="2"/>
  <c r="E93" i="2"/>
  <c r="O71" i="2"/>
  <c r="O70" i="2"/>
  <c r="G70" i="2"/>
  <c r="E63" i="2"/>
  <c r="E62" i="2"/>
  <c r="E61" i="2"/>
  <c r="E60" i="2"/>
  <c r="D63" i="2"/>
  <c r="D62" i="2"/>
  <c r="D60" i="2"/>
  <c r="S39" i="2"/>
  <c r="G38" i="2"/>
  <c r="DK4" i="9"/>
  <c r="DJ4" i="9"/>
  <c r="DD4" i="9"/>
  <c r="DB4" i="9"/>
  <c r="CZ4" i="9"/>
  <c r="CR4" i="9"/>
  <c r="CQ4" i="9"/>
  <c r="CP4" i="9"/>
  <c r="CO4" i="9"/>
  <c r="CN4" i="9"/>
  <c r="CM4" i="9"/>
  <c r="CK4" i="9"/>
  <c r="CJ4" i="9"/>
  <c r="DL4" i="9"/>
  <c r="DE4" i="9"/>
  <c r="DA4" i="9"/>
  <c r="CT4" i="9"/>
  <c r="DJ5" i="9"/>
  <c r="DK5" i="9"/>
  <c r="CZ5" i="9"/>
  <c r="DB5" i="9"/>
  <c r="DD5" i="9"/>
  <c r="CJ5" i="9"/>
  <c r="CK5" i="9"/>
  <c r="CM5" i="9"/>
  <c r="CN5" i="9"/>
  <c r="CO5" i="9"/>
  <c r="CP5" i="9"/>
  <c r="CQ5" i="9"/>
  <c r="CR5" i="9"/>
  <c r="DL5" i="9"/>
  <c r="DA5" i="9"/>
  <c r="DE5" i="9"/>
  <c r="CT5" i="9"/>
  <c r="DJ6" i="9"/>
  <c r="DK6" i="9"/>
  <c r="CZ6" i="9"/>
  <c r="DB6" i="9"/>
  <c r="DD6" i="9"/>
  <c r="CJ6" i="9"/>
  <c r="CK6" i="9"/>
  <c r="CM6" i="9"/>
  <c r="CN6" i="9"/>
  <c r="CO6" i="9"/>
  <c r="CP6" i="9"/>
  <c r="CQ6" i="9"/>
  <c r="CR6" i="9"/>
  <c r="DL6" i="9"/>
  <c r="DA6" i="9"/>
  <c r="DE6" i="9"/>
  <c r="CT6" i="9"/>
  <c r="DJ7" i="9"/>
  <c r="DK7" i="9"/>
  <c r="CZ7" i="9"/>
  <c r="DB7" i="9"/>
  <c r="DD7" i="9"/>
  <c r="CJ7" i="9"/>
  <c r="CK7" i="9"/>
  <c r="CM7" i="9"/>
  <c r="CN7" i="9"/>
  <c r="CO7" i="9"/>
  <c r="CP7" i="9"/>
  <c r="CQ7" i="9"/>
  <c r="CR7" i="9"/>
  <c r="DL7" i="9"/>
  <c r="DA7" i="9"/>
  <c r="DE7" i="9"/>
  <c r="CT7" i="9"/>
  <c r="DJ8" i="9"/>
  <c r="DK8" i="9"/>
  <c r="CZ8" i="9"/>
  <c r="DB8" i="9"/>
  <c r="DD8" i="9"/>
  <c r="CJ8" i="9"/>
  <c r="CK8" i="9"/>
  <c r="CM8" i="9"/>
  <c r="CN8" i="9"/>
  <c r="CO8" i="9"/>
  <c r="CP8" i="9"/>
  <c r="CQ8" i="9"/>
  <c r="CR8" i="9"/>
  <c r="DL8" i="9"/>
  <c r="DA8" i="9"/>
  <c r="DE8" i="9"/>
  <c r="CT8" i="9"/>
  <c r="DJ9" i="9"/>
  <c r="DK9" i="9"/>
  <c r="CZ9" i="9"/>
  <c r="DB9" i="9"/>
  <c r="DD9" i="9"/>
  <c r="CJ9" i="9"/>
  <c r="CK9" i="9"/>
  <c r="CM9" i="9"/>
  <c r="CN9" i="9"/>
  <c r="CO9" i="9"/>
  <c r="CP9" i="9"/>
  <c r="CQ9" i="9"/>
  <c r="CR9" i="9"/>
  <c r="DL9" i="9"/>
  <c r="DA9" i="9"/>
  <c r="DE9" i="9"/>
  <c r="CT9" i="9"/>
  <c r="DJ10" i="9"/>
  <c r="DK10" i="9"/>
  <c r="CZ10" i="9"/>
  <c r="DB10" i="9"/>
  <c r="DD10" i="9"/>
  <c r="CJ10" i="9"/>
  <c r="CK10" i="9"/>
  <c r="CM10" i="9"/>
  <c r="CN10" i="9"/>
  <c r="CO10" i="9"/>
  <c r="CP10" i="9"/>
  <c r="CQ10" i="9"/>
  <c r="CR10" i="9"/>
  <c r="DL10" i="9"/>
  <c r="DA10" i="9"/>
  <c r="DE10" i="9"/>
  <c r="CT10" i="9"/>
  <c r="DJ11" i="9"/>
  <c r="DK11" i="9"/>
  <c r="CZ11" i="9"/>
  <c r="DB11" i="9"/>
  <c r="DD11" i="9"/>
  <c r="CJ11" i="9"/>
  <c r="CK11" i="9"/>
  <c r="CM11" i="9"/>
  <c r="CN11" i="9"/>
  <c r="CO11" i="9"/>
  <c r="CP11" i="9"/>
  <c r="CQ11" i="9"/>
  <c r="CR11" i="9"/>
  <c r="DL11" i="9"/>
  <c r="DA11" i="9"/>
  <c r="DE11" i="9"/>
  <c r="CT11" i="9"/>
  <c r="DJ12" i="9"/>
  <c r="DK12" i="9"/>
  <c r="CZ12" i="9"/>
  <c r="DB12" i="9"/>
  <c r="DD12" i="9"/>
  <c r="CJ12" i="9"/>
  <c r="CK12" i="9"/>
  <c r="CM12" i="9"/>
  <c r="CN12" i="9"/>
  <c r="CO12" i="9"/>
  <c r="CP12" i="9"/>
  <c r="CQ12" i="9"/>
  <c r="CR12" i="9"/>
  <c r="DL12" i="9"/>
  <c r="DA12" i="9"/>
  <c r="DE12" i="9"/>
  <c r="CT12" i="9"/>
  <c r="DJ13" i="9"/>
  <c r="DK13" i="9"/>
  <c r="CZ13" i="9"/>
  <c r="DB13" i="9"/>
  <c r="DD13" i="9"/>
  <c r="CJ13" i="9"/>
  <c r="CK13" i="9"/>
  <c r="CM13" i="9"/>
  <c r="CN13" i="9"/>
  <c r="CO13" i="9"/>
  <c r="CP13" i="9"/>
  <c r="CQ13" i="9"/>
  <c r="CR13" i="9"/>
  <c r="DL13" i="9"/>
  <c r="DA13" i="9"/>
  <c r="DE13" i="9"/>
  <c r="CT13" i="9"/>
  <c r="DJ14" i="9"/>
  <c r="DK14" i="9"/>
  <c r="CZ14" i="9"/>
  <c r="DB14" i="9"/>
  <c r="DD14" i="9"/>
  <c r="CJ14" i="9"/>
  <c r="CK14" i="9"/>
  <c r="CM14" i="9"/>
  <c r="CN14" i="9"/>
  <c r="CO14" i="9"/>
  <c r="CP14" i="9"/>
  <c r="CQ14" i="9"/>
  <c r="CR14" i="9"/>
  <c r="DL14" i="9"/>
  <c r="DA14" i="9"/>
  <c r="DE14" i="9"/>
  <c r="CT14" i="9"/>
  <c r="DJ15" i="9"/>
  <c r="DK15" i="9"/>
  <c r="CZ15" i="9"/>
  <c r="DB15" i="9"/>
  <c r="DD15" i="9"/>
  <c r="CJ15" i="9"/>
  <c r="CK15" i="9"/>
  <c r="CM15" i="9"/>
  <c r="CN15" i="9"/>
  <c r="CO15" i="9"/>
  <c r="CP15" i="9"/>
  <c r="CQ15" i="9"/>
  <c r="CR15" i="9"/>
  <c r="DL15" i="9"/>
  <c r="DA15" i="9"/>
  <c r="DE15" i="9"/>
  <c r="CT15" i="9"/>
  <c r="DJ16" i="9"/>
  <c r="DK16" i="9"/>
  <c r="CZ16" i="9"/>
  <c r="DB16" i="9"/>
  <c r="DD16" i="9"/>
  <c r="CJ16" i="9"/>
  <c r="CK16" i="9"/>
  <c r="CM16" i="9"/>
  <c r="CN16" i="9"/>
  <c r="CO16" i="9"/>
  <c r="CP16" i="9"/>
  <c r="CQ16" i="9"/>
  <c r="CR16" i="9"/>
  <c r="DL16" i="9"/>
  <c r="DA16" i="9"/>
  <c r="DE16" i="9"/>
  <c r="CT16" i="9"/>
  <c r="DJ17" i="9"/>
  <c r="DK17" i="9"/>
  <c r="CZ17" i="9"/>
  <c r="DB17" i="9"/>
  <c r="DD17" i="9"/>
  <c r="CJ17" i="9"/>
  <c r="CK17" i="9"/>
  <c r="CM17" i="9"/>
  <c r="CN17" i="9"/>
  <c r="CO17" i="9"/>
  <c r="CP17" i="9"/>
  <c r="CQ17" i="9"/>
  <c r="CR17" i="9"/>
  <c r="DL17" i="9"/>
  <c r="DA17" i="9"/>
  <c r="DE17" i="9"/>
  <c r="CT17" i="9"/>
  <c r="DJ18" i="9"/>
  <c r="DK18" i="9"/>
  <c r="CZ18" i="9"/>
  <c r="DB18" i="9"/>
  <c r="DD18" i="9"/>
  <c r="CJ18" i="9"/>
  <c r="CK18" i="9"/>
  <c r="CM18" i="9"/>
  <c r="CN18" i="9"/>
  <c r="CO18" i="9"/>
  <c r="CP18" i="9"/>
  <c r="CQ18" i="9"/>
  <c r="CR18" i="9"/>
  <c r="DL18" i="9"/>
  <c r="DA18" i="9"/>
  <c r="DE18" i="9"/>
  <c r="CT18" i="9"/>
  <c r="DJ19" i="9"/>
  <c r="DK19" i="9"/>
  <c r="CZ19" i="9"/>
  <c r="DB19" i="9"/>
  <c r="DD19" i="9"/>
  <c r="CJ19" i="9"/>
  <c r="CK19" i="9"/>
  <c r="CM19" i="9"/>
  <c r="CN19" i="9"/>
  <c r="CO19" i="9"/>
  <c r="CP19" i="9"/>
  <c r="CQ19" i="9"/>
  <c r="CR19" i="9"/>
  <c r="DL19" i="9"/>
  <c r="DA19" i="9"/>
  <c r="DE19" i="9"/>
  <c r="CT19" i="9"/>
  <c r="DJ20" i="9"/>
  <c r="DK20" i="9"/>
  <c r="CZ20" i="9"/>
  <c r="DB20" i="9"/>
  <c r="DD20" i="9"/>
  <c r="CJ20" i="9"/>
  <c r="CK20" i="9"/>
  <c r="CM20" i="9"/>
  <c r="CN20" i="9"/>
  <c r="CO20" i="9"/>
  <c r="CP20" i="9"/>
  <c r="CQ20" i="9"/>
  <c r="CR20" i="9"/>
  <c r="DL20" i="9"/>
  <c r="DA20" i="9"/>
  <c r="DE20" i="9"/>
  <c r="CT20" i="9"/>
  <c r="DJ21" i="9"/>
  <c r="DK21" i="9"/>
  <c r="CZ21" i="9"/>
  <c r="DB21" i="9"/>
  <c r="DD21" i="9"/>
  <c r="CJ21" i="9"/>
  <c r="CK21" i="9"/>
  <c r="CM21" i="9"/>
  <c r="CN21" i="9"/>
  <c r="CO21" i="9"/>
  <c r="CP21" i="9"/>
  <c r="CQ21" i="9"/>
  <c r="CR21" i="9"/>
  <c r="DL21" i="9"/>
  <c r="DA21" i="9"/>
  <c r="DE21" i="9"/>
  <c r="CT21" i="9"/>
  <c r="DJ22" i="9"/>
  <c r="DK22" i="9"/>
  <c r="CZ22" i="9"/>
  <c r="DB22" i="9"/>
  <c r="DD22" i="9"/>
  <c r="CJ22" i="9"/>
  <c r="CK22" i="9"/>
  <c r="CM22" i="9"/>
  <c r="CN22" i="9"/>
  <c r="CO22" i="9"/>
  <c r="CP22" i="9"/>
  <c r="CQ22" i="9"/>
  <c r="CR22" i="9"/>
  <c r="DL22" i="9"/>
  <c r="DA22" i="9"/>
  <c r="CT22" i="9"/>
  <c r="DJ23" i="9"/>
  <c r="DK23" i="9"/>
  <c r="CZ23" i="9"/>
  <c r="DB23" i="9"/>
  <c r="DD23" i="9"/>
  <c r="CJ23" i="9"/>
  <c r="CK23" i="9"/>
  <c r="CM23" i="9"/>
  <c r="CN23" i="9"/>
  <c r="CO23" i="9"/>
  <c r="CP23" i="9"/>
  <c r="CQ23" i="9"/>
  <c r="CR23" i="9"/>
  <c r="DL23" i="9"/>
  <c r="DA23" i="9"/>
  <c r="CT23" i="9"/>
  <c r="DJ24" i="9"/>
  <c r="DK24" i="9"/>
  <c r="CZ24" i="9"/>
  <c r="DB24" i="9"/>
  <c r="DD24" i="9"/>
  <c r="CJ24" i="9"/>
  <c r="CK24" i="9"/>
  <c r="CM24" i="9"/>
  <c r="CN24" i="9"/>
  <c r="CO24" i="9"/>
  <c r="CP24" i="9"/>
  <c r="CQ24" i="9"/>
  <c r="CR24" i="9"/>
  <c r="DL24" i="9"/>
  <c r="DA24" i="9"/>
  <c r="CT24" i="9"/>
  <c r="DJ25" i="9"/>
  <c r="DK25" i="9"/>
  <c r="CZ25" i="9"/>
  <c r="DB25" i="9"/>
  <c r="DD25" i="9"/>
  <c r="CJ25" i="9"/>
  <c r="CK25" i="9"/>
  <c r="CM25" i="9"/>
  <c r="CN25" i="9"/>
  <c r="CO25" i="9"/>
  <c r="CP25" i="9"/>
  <c r="CQ25" i="9"/>
  <c r="CR25" i="9"/>
  <c r="DL25" i="9"/>
  <c r="DA25" i="9"/>
  <c r="CT25" i="9"/>
  <c r="DJ26" i="9"/>
  <c r="DK26" i="9"/>
  <c r="CZ26" i="9"/>
  <c r="DB26" i="9"/>
  <c r="DD26" i="9"/>
  <c r="CJ26" i="9"/>
  <c r="CK26" i="9"/>
  <c r="CM26" i="9"/>
  <c r="CN26" i="9"/>
  <c r="CO26" i="9"/>
  <c r="CP26" i="9"/>
  <c r="CQ26" i="9"/>
  <c r="CR26" i="9"/>
  <c r="DL26" i="9"/>
  <c r="DA26" i="9"/>
  <c r="CT26" i="9"/>
  <c r="DJ27" i="9"/>
  <c r="DK27" i="9"/>
  <c r="CZ27" i="9"/>
  <c r="DB27" i="9"/>
  <c r="DD27" i="9"/>
  <c r="CM27" i="9"/>
  <c r="CN27" i="9"/>
  <c r="CO27" i="9"/>
  <c r="CQ27" i="9"/>
  <c r="CR27" i="9"/>
  <c r="DL27" i="9"/>
  <c r="DA27" i="9"/>
  <c r="CT27" i="9"/>
  <c r="DJ28" i="9"/>
  <c r="DK28" i="9"/>
  <c r="CZ28" i="9"/>
  <c r="DB28" i="9"/>
  <c r="DD28" i="9"/>
  <c r="CM28" i="9"/>
  <c r="CN28" i="9"/>
  <c r="CO28" i="9"/>
  <c r="CQ28" i="9"/>
  <c r="CR28" i="9"/>
  <c r="DL28" i="9"/>
  <c r="DA28" i="9"/>
  <c r="CT28" i="9"/>
  <c r="DJ29" i="9"/>
  <c r="DK29" i="9"/>
  <c r="CZ29" i="9"/>
  <c r="DB29" i="9"/>
  <c r="DD29" i="9"/>
  <c r="CM29" i="9"/>
  <c r="CN29" i="9"/>
  <c r="CO29" i="9"/>
  <c r="CQ29" i="9"/>
  <c r="CR29" i="9"/>
  <c r="DL29" i="9"/>
  <c r="DA29" i="9"/>
  <c r="CT29" i="9"/>
  <c r="DJ30" i="9"/>
  <c r="DK30" i="9"/>
  <c r="CZ30" i="9"/>
  <c r="DB30" i="9"/>
  <c r="DD30" i="9"/>
  <c r="CM30" i="9"/>
  <c r="CN30" i="9"/>
  <c r="CO30" i="9"/>
  <c r="CQ30" i="9"/>
  <c r="CR30" i="9"/>
  <c r="DL30" i="9"/>
  <c r="DA30" i="9"/>
  <c r="CT30" i="9"/>
  <c r="DJ31" i="9"/>
  <c r="DK31" i="9"/>
  <c r="CZ31" i="9"/>
  <c r="DB31" i="9"/>
  <c r="DD31" i="9"/>
  <c r="CM31" i="9"/>
  <c r="CN31" i="9"/>
  <c r="CO31" i="9"/>
  <c r="CQ31" i="9"/>
  <c r="CR31" i="9"/>
  <c r="DL31" i="9"/>
  <c r="DA31" i="9"/>
  <c r="CT31" i="9"/>
  <c r="DJ32" i="9"/>
  <c r="DK32" i="9"/>
  <c r="CZ32" i="9"/>
  <c r="DB32" i="9"/>
  <c r="DD32" i="9"/>
  <c r="CM32" i="9"/>
  <c r="CN32" i="9"/>
  <c r="CO32" i="9"/>
  <c r="CQ32" i="9"/>
  <c r="CR32" i="9"/>
  <c r="DL32" i="9"/>
  <c r="DA32" i="9"/>
  <c r="CT32" i="9"/>
  <c r="DJ33" i="9"/>
  <c r="DK33" i="9"/>
  <c r="CZ33" i="9"/>
  <c r="DB33" i="9"/>
  <c r="DD33" i="9"/>
  <c r="CM33" i="9"/>
  <c r="CN33" i="9"/>
  <c r="CO33" i="9"/>
  <c r="CQ33" i="9"/>
  <c r="CR33" i="9"/>
  <c r="DL33" i="9"/>
  <c r="DA33" i="9"/>
  <c r="CT33" i="9"/>
  <c r="DJ34" i="9"/>
  <c r="DK34" i="9"/>
  <c r="CZ34" i="9"/>
  <c r="DB34" i="9"/>
  <c r="DD34" i="9"/>
  <c r="CM34" i="9"/>
  <c r="CN34" i="9"/>
  <c r="CO34" i="9"/>
  <c r="CQ34" i="9"/>
  <c r="CR34" i="9"/>
  <c r="DL34" i="9"/>
  <c r="DA34" i="9"/>
  <c r="CT34" i="9"/>
  <c r="DJ35" i="9"/>
  <c r="DK35" i="9"/>
  <c r="CZ35" i="9"/>
  <c r="DB35" i="9"/>
  <c r="DD35" i="9"/>
  <c r="CM35" i="9"/>
  <c r="CN35" i="9"/>
  <c r="CO35" i="9"/>
  <c r="CQ35" i="9"/>
  <c r="CR35" i="9"/>
  <c r="DL35" i="9"/>
  <c r="DA35" i="9"/>
  <c r="CT35" i="9"/>
  <c r="DJ36" i="9"/>
  <c r="DK36" i="9"/>
  <c r="CZ36" i="9"/>
  <c r="DB36" i="9"/>
  <c r="DD36" i="9"/>
  <c r="CM36" i="9"/>
  <c r="CN36" i="9"/>
  <c r="CO36" i="9"/>
  <c r="CQ36" i="9"/>
  <c r="CR36" i="9"/>
  <c r="DL36" i="9"/>
  <c r="DA36" i="9"/>
  <c r="CT36" i="9"/>
  <c r="DJ37" i="9"/>
  <c r="DK37" i="9"/>
  <c r="CZ37" i="9"/>
  <c r="DB37" i="9"/>
  <c r="DD37" i="9"/>
  <c r="CM37" i="9"/>
  <c r="CN37" i="9"/>
  <c r="CO37" i="9"/>
  <c r="CQ37" i="9"/>
  <c r="CR37" i="9"/>
  <c r="DL37" i="9"/>
  <c r="DA37" i="9"/>
  <c r="CT37" i="9"/>
  <c r="DJ38" i="9"/>
  <c r="DK38" i="9"/>
  <c r="CZ38" i="9"/>
  <c r="DB38" i="9"/>
  <c r="DD38" i="9"/>
  <c r="CM38" i="9"/>
  <c r="CN38" i="9"/>
  <c r="CO38" i="9"/>
  <c r="CQ38" i="9"/>
  <c r="CR38" i="9"/>
  <c r="DL38" i="9"/>
  <c r="DA38" i="9"/>
  <c r="CT38" i="9"/>
  <c r="DJ39" i="9"/>
  <c r="DK39" i="9"/>
  <c r="CZ39" i="9"/>
  <c r="DB39" i="9"/>
  <c r="DD39" i="9"/>
  <c r="CM39" i="9"/>
  <c r="CN39" i="9"/>
  <c r="CO39" i="9"/>
  <c r="CQ39" i="9"/>
  <c r="CR39" i="9"/>
  <c r="DL39" i="9"/>
  <c r="DA39" i="9"/>
  <c r="CT39" i="9"/>
  <c r="DJ40" i="9"/>
  <c r="DK40" i="9"/>
  <c r="CZ40" i="9"/>
  <c r="DB40" i="9"/>
  <c r="DD40" i="9"/>
  <c r="CM40" i="9"/>
  <c r="CN40" i="9"/>
  <c r="CO40" i="9"/>
  <c r="CQ40" i="9"/>
  <c r="CR40" i="9"/>
  <c r="DL40" i="9"/>
  <c r="DA40" i="9"/>
  <c r="CT40" i="9"/>
  <c r="DJ41" i="9"/>
  <c r="DK41" i="9"/>
  <c r="CZ41" i="9"/>
  <c r="DB41" i="9"/>
  <c r="DD41" i="9"/>
  <c r="CM41" i="9"/>
  <c r="CN41" i="9"/>
  <c r="CO41" i="9"/>
  <c r="CQ41" i="9"/>
  <c r="CR41" i="9"/>
  <c r="DL41" i="9"/>
  <c r="DA41" i="9"/>
  <c r="CT41" i="9"/>
  <c r="DJ42" i="9"/>
  <c r="DK42" i="9"/>
  <c r="CZ42" i="9"/>
  <c r="DB42" i="9"/>
  <c r="DD42" i="9"/>
  <c r="CM42" i="9"/>
  <c r="CN42" i="9"/>
  <c r="CO42" i="9"/>
  <c r="CQ42" i="9"/>
  <c r="CR42" i="9"/>
  <c r="DL42" i="9"/>
  <c r="DA42" i="9"/>
  <c r="CT42" i="9"/>
  <c r="DJ43" i="9"/>
  <c r="DK43" i="9"/>
  <c r="CZ43" i="9"/>
  <c r="DB43" i="9"/>
  <c r="DD43" i="9"/>
  <c r="CM43" i="9"/>
  <c r="CN43" i="9"/>
  <c r="CO43" i="9"/>
  <c r="CQ43" i="9"/>
  <c r="CR43" i="9"/>
  <c r="DL43" i="9"/>
  <c r="DA43" i="9"/>
  <c r="CT43" i="9"/>
  <c r="DJ44" i="9"/>
  <c r="DK44" i="9"/>
  <c r="CZ44" i="9"/>
  <c r="DB44" i="9"/>
  <c r="DD44" i="9"/>
  <c r="CM44" i="9"/>
  <c r="CN44" i="9"/>
  <c r="CO44" i="9"/>
  <c r="CQ44" i="9"/>
  <c r="CR44" i="9"/>
  <c r="DL44" i="9"/>
  <c r="DA44" i="9"/>
  <c r="CT44" i="9"/>
  <c r="DJ45" i="9"/>
  <c r="DK45" i="9"/>
  <c r="CZ45" i="9"/>
  <c r="DB45" i="9"/>
  <c r="DD45" i="9"/>
  <c r="CM45" i="9"/>
  <c r="CN45" i="9"/>
  <c r="CO45" i="9"/>
  <c r="CQ45" i="9"/>
  <c r="CR45" i="9"/>
  <c r="DL45" i="9"/>
  <c r="DA45" i="9"/>
  <c r="CT45" i="9"/>
  <c r="DJ46" i="9"/>
  <c r="DK46" i="9"/>
  <c r="CZ46" i="9"/>
  <c r="DB46" i="9"/>
  <c r="DD46" i="9"/>
  <c r="CM46" i="9"/>
  <c r="CN46" i="9"/>
  <c r="CO46" i="9"/>
  <c r="CQ46" i="9"/>
  <c r="CR46" i="9"/>
  <c r="DL46" i="9"/>
  <c r="DA46" i="9"/>
  <c r="CT46" i="9"/>
  <c r="DJ47" i="9"/>
  <c r="DK47" i="9"/>
  <c r="CZ47" i="9"/>
  <c r="DB47" i="9"/>
  <c r="DD47" i="9"/>
  <c r="CM47" i="9"/>
  <c r="CN47" i="9"/>
  <c r="CO47" i="9"/>
  <c r="CQ47" i="9"/>
  <c r="CR47" i="9"/>
  <c r="DL47" i="9"/>
  <c r="DA47" i="9"/>
  <c r="CT47" i="9"/>
  <c r="DJ48" i="9"/>
  <c r="DK48" i="9"/>
  <c r="CZ48" i="9"/>
  <c r="DB48" i="9"/>
  <c r="DD48" i="9"/>
  <c r="CM48" i="9"/>
  <c r="CN48" i="9"/>
  <c r="CO48" i="9"/>
  <c r="CQ48" i="9"/>
  <c r="CR48" i="9"/>
  <c r="DL48" i="9"/>
  <c r="DA48" i="9"/>
  <c r="CT48" i="9"/>
  <c r="DJ49" i="9"/>
  <c r="DK49" i="9"/>
  <c r="CZ49" i="9"/>
  <c r="DB49" i="9"/>
  <c r="DD49" i="9"/>
  <c r="CM49" i="9"/>
  <c r="CN49" i="9"/>
  <c r="CO49" i="9"/>
  <c r="CQ49" i="9"/>
  <c r="CR49" i="9"/>
  <c r="DL49" i="9"/>
  <c r="DA49" i="9"/>
  <c r="CT49" i="9"/>
  <c r="DJ50" i="9"/>
  <c r="DK50" i="9"/>
  <c r="CZ50" i="9"/>
  <c r="DB50" i="9"/>
  <c r="DD50" i="9"/>
  <c r="CM50" i="9"/>
  <c r="CN50" i="9"/>
  <c r="CO50" i="9"/>
  <c r="CQ50" i="9"/>
  <c r="CR50" i="9"/>
  <c r="DL50" i="9"/>
  <c r="DA50" i="9"/>
  <c r="CT50" i="9"/>
  <c r="DJ51" i="9"/>
  <c r="DK51" i="9"/>
  <c r="CZ51" i="9"/>
  <c r="DB51" i="9"/>
  <c r="DD51" i="9"/>
  <c r="CM51" i="9"/>
  <c r="CN51" i="9"/>
  <c r="CO51" i="9"/>
  <c r="CQ51" i="9"/>
  <c r="CR51" i="9"/>
  <c r="DL51" i="9"/>
  <c r="DA51" i="9"/>
  <c r="CT51" i="9"/>
  <c r="DJ52" i="9"/>
  <c r="DK52" i="9"/>
  <c r="CZ52" i="9"/>
  <c r="DB52" i="9"/>
  <c r="DD52" i="9"/>
  <c r="CM52" i="9"/>
  <c r="CN52" i="9"/>
  <c r="CO52" i="9"/>
  <c r="CQ52" i="9"/>
  <c r="CR52" i="9"/>
  <c r="DL52" i="9"/>
  <c r="DA52" i="9"/>
  <c r="CT52" i="9"/>
  <c r="DJ53" i="9"/>
  <c r="DK53" i="9"/>
  <c r="CZ53" i="9"/>
  <c r="DB53" i="9"/>
  <c r="DD53" i="9"/>
  <c r="CM53" i="9"/>
  <c r="CN53" i="9"/>
  <c r="CO53" i="9"/>
  <c r="CQ53" i="9"/>
  <c r="CR53" i="9"/>
  <c r="DL53" i="9"/>
  <c r="DA53" i="9"/>
  <c r="CT53" i="9"/>
  <c r="DJ54" i="9"/>
  <c r="DK54" i="9"/>
  <c r="CZ54" i="9"/>
  <c r="DB54" i="9"/>
  <c r="DD54" i="9"/>
  <c r="CM54" i="9"/>
  <c r="CN54" i="9"/>
  <c r="CO54" i="9"/>
  <c r="CQ54" i="9"/>
  <c r="CR54" i="9"/>
  <c r="DL54" i="9"/>
  <c r="DA54" i="9"/>
  <c r="CT54" i="9"/>
  <c r="DJ55" i="9"/>
  <c r="DK55" i="9"/>
  <c r="CZ55" i="9"/>
  <c r="DB55" i="9"/>
  <c r="DD55" i="9"/>
  <c r="CM55" i="9"/>
  <c r="CN55" i="9"/>
  <c r="CO55" i="9"/>
  <c r="CQ55" i="9"/>
  <c r="CR55" i="9"/>
  <c r="DL55" i="9"/>
  <c r="DA55" i="9"/>
  <c r="CT55" i="9"/>
  <c r="DJ56" i="9"/>
  <c r="DK56" i="9"/>
  <c r="CZ56" i="9"/>
  <c r="DB56" i="9"/>
  <c r="DD56" i="9"/>
  <c r="CM56" i="9"/>
  <c r="CN56" i="9"/>
  <c r="CO56" i="9"/>
  <c r="CQ56" i="9"/>
  <c r="CR56" i="9"/>
  <c r="DL56" i="9"/>
  <c r="DA56" i="9"/>
  <c r="CT56" i="9"/>
  <c r="DJ57" i="9"/>
  <c r="DK57" i="9"/>
  <c r="CZ57" i="9"/>
  <c r="DB57" i="9"/>
  <c r="DD57" i="9"/>
  <c r="CM57" i="9"/>
  <c r="CN57" i="9"/>
  <c r="CO57" i="9"/>
  <c r="CQ57" i="9"/>
  <c r="CR57" i="9"/>
  <c r="DL57" i="9"/>
  <c r="DA57" i="9"/>
  <c r="CT57" i="9"/>
  <c r="DJ58" i="9"/>
  <c r="DK58" i="9"/>
  <c r="CZ58" i="9"/>
  <c r="DB58" i="9"/>
  <c r="DD58" i="9"/>
  <c r="CM58" i="9"/>
  <c r="CN58" i="9"/>
  <c r="CO58" i="9"/>
  <c r="CQ58" i="9"/>
  <c r="CR58" i="9"/>
  <c r="DL58" i="9"/>
  <c r="DA58" i="9"/>
  <c r="CT58" i="9"/>
  <c r="DJ59" i="9"/>
  <c r="DK59" i="9"/>
  <c r="CZ59" i="9"/>
  <c r="DB59" i="9"/>
  <c r="DD59" i="9"/>
  <c r="CM59" i="9"/>
  <c r="CN59" i="9"/>
  <c r="CO59" i="9"/>
  <c r="CQ59" i="9"/>
  <c r="CR59" i="9"/>
  <c r="DL59" i="9"/>
  <c r="DA59" i="9"/>
  <c r="CT59" i="9"/>
  <c r="DJ60" i="9"/>
  <c r="DK60" i="9"/>
  <c r="CZ60" i="9"/>
  <c r="DB60" i="9"/>
  <c r="DD60" i="9"/>
  <c r="CM60" i="9"/>
  <c r="CN60" i="9"/>
  <c r="CO60" i="9"/>
  <c r="CQ60" i="9"/>
  <c r="CR60" i="9"/>
  <c r="DL60" i="9"/>
  <c r="DA60" i="9"/>
  <c r="CT60" i="9"/>
  <c r="DJ61" i="9"/>
  <c r="DK61" i="9"/>
  <c r="CZ61" i="9"/>
  <c r="DB61" i="9"/>
  <c r="DD61" i="9"/>
  <c r="CM61" i="9"/>
  <c r="CN61" i="9"/>
  <c r="CO61" i="9"/>
  <c r="CQ61" i="9"/>
  <c r="CR61" i="9"/>
  <c r="DL61" i="9"/>
  <c r="DA61" i="9"/>
  <c r="CT61" i="9"/>
  <c r="DJ62" i="9"/>
  <c r="DK62" i="9"/>
  <c r="CZ62" i="9"/>
  <c r="DB62" i="9"/>
  <c r="DD62" i="9"/>
  <c r="CM62" i="9"/>
  <c r="CN62" i="9"/>
  <c r="CO62" i="9"/>
  <c r="CQ62" i="9"/>
  <c r="CR62" i="9"/>
  <c r="DL62" i="9"/>
  <c r="DA62" i="9"/>
  <c r="CT62" i="9"/>
  <c r="DJ63" i="9"/>
  <c r="DK63" i="9"/>
  <c r="CZ63" i="9"/>
  <c r="DB63" i="9"/>
  <c r="DD63" i="9"/>
  <c r="CM63" i="9"/>
  <c r="CN63" i="9"/>
  <c r="CO63" i="9"/>
  <c r="CQ63" i="9"/>
  <c r="CR63" i="9"/>
  <c r="DL63" i="9"/>
  <c r="DA63" i="9"/>
  <c r="CT63" i="9"/>
  <c r="DJ64" i="9"/>
  <c r="DK64" i="9"/>
  <c r="CZ64" i="9"/>
  <c r="DB64" i="9"/>
  <c r="DD64" i="9"/>
  <c r="CM64" i="9"/>
  <c r="CN64" i="9"/>
  <c r="CO64" i="9"/>
  <c r="CQ64" i="9"/>
  <c r="CR64" i="9"/>
  <c r="DL64" i="9"/>
  <c r="DA64" i="9"/>
  <c r="CT64" i="9"/>
  <c r="DJ65" i="9"/>
  <c r="DK65" i="9"/>
  <c r="CZ65" i="9"/>
  <c r="DB65" i="9"/>
  <c r="DD65" i="9"/>
  <c r="CM65" i="9"/>
  <c r="CN65" i="9"/>
  <c r="CO65" i="9"/>
  <c r="CQ65" i="9"/>
  <c r="CR65" i="9"/>
  <c r="DL65" i="9"/>
  <c r="DA65" i="9"/>
  <c r="CT65" i="9"/>
  <c r="DJ66" i="9"/>
  <c r="DK66" i="9"/>
  <c r="CZ66" i="9"/>
  <c r="DB66" i="9"/>
  <c r="DD66" i="9"/>
  <c r="CM66" i="9"/>
  <c r="CN66" i="9"/>
  <c r="CO66" i="9"/>
  <c r="CQ66" i="9"/>
  <c r="CR66" i="9"/>
  <c r="DL66" i="9"/>
  <c r="DA66" i="9"/>
  <c r="CT66" i="9"/>
  <c r="DJ67" i="9"/>
  <c r="DK67" i="9"/>
  <c r="CZ67" i="9"/>
  <c r="DB67" i="9"/>
  <c r="DD67" i="9"/>
  <c r="CM67" i="9"/>
  <c r="CN67" i="9"/>
  <c r="CO67" i="9"/>
  <c r="CQ67" i="9"/>
  <c r="CR67" i="9"/>
  <c r="DL67" i="9"/>
  <c r="DA67" i="9"/>
  <c r="CT67" i="9"/>
  <c r="DJ68" i="9"/>
  <c r="DK68" i="9"/>
  <c r="CZ68" i="9"/>
  <c r="DB68" i="9"/>
  <c r="DD68" i="9"/>
  <c r="CM68" i="9"/>
  <c r="CN68" i="9"/>
  <c r="CO68" i="9"/>
  <c r="CQ68" i="9"/>
  <c r="CR68" i="9"/>
  <c r="DL68" i="9"/>
  <c r="DA68" i="9"/>
  <c r="CT68" i="9"/>
  <c r="DJ69" i="9"/>
  <c r="DK69" i="9"/>
  <c r="CZ69" i="9"/>
  <c r="DB69" i="9"/>
  <c r="DD69" i="9"/>
  <c r="CM69" i="9"/>
  <c r="CN69" i="9"/>
  <c r="CO69" i="9"/>
  <c r="CQ69" i="9"/>
  <c r="CR69" i="9"/>
  <c r="DL69" i="9"/>
  <c r="DA69" i="9"/>
  <c r="CT69" i="9"/>
  <c r="DJ70" i="9"/>
  <c r="DK70" i="9"/>
  <c r="CZ70" i="9"/>
  <c r="DB70" i="9"/>
  <c r="DD70" i="9"/>
  <c r="CM70" i="9"/>
  <c r="CN70" i="9"/>
  <c r="CO70" i="9"/>
  <c r="CQ70" i="9"/>
  <c r="CR70" i="9"/>
  <c r="DL70" i="9"/>
  <c r="DA70" i="9"/>
  <c r="CT70" i="9"/>
  <c r="DJ71" i="9"/>
  <c r="DK71" i="9"/>
  <c r="CZ71" i="9"/>
  <c r="DB71" i="9"/>
  <c r="DD71" i="9"/>
  <c r="CM71" i="9"/>
  <c r="CN71" i="9"/>
  <c r="CO71" i="9"/>
  <c r="CQ71" i="9"/>
  <c r="CR71" i="9"/>
  <c r="DL71" i="9"/>
  <c r="DA71" i="9"/>
  <c r="CT71" i="9"/>
  <c r="DJ72" i="9"/>
  <c r="DK72" i="9"/>
  <c r="CZ72" i="9"/>
  <c r="DB72" i="9"/>
  <c r="DD72" i="9"/>
  <c r="CM72" i="9"/>
  <c r="CN72" i="9"/>
  <c r="CO72" i="9"/>
  <c r="CQ72" i="9"/>
  <c r="CR72" i="9"/>
  <c r="DL72" i="9"/>
  <c r="DA72" i="9"/>
  <c r="CT72" i="9"/>
  <c r="DJ73" i="9"/>
  <c r="DK73" i="9"/>
  <c r="CZ73" i="9"/>
  <c r="DB73" i="9"/>
  <c r="DD73" i="9"/>
  <c r="CM73" i="9"/>
  <c r="CN73" i="9"/>
  <c r="CO73" i="9"/>
  <c r="CQ73" i="9"/>
  <c r="CR73" i="9"/>
  <c r="DL73" i="9"/>
  <c r="DA73" i="9"/>
  <c r="CT73" i="9"/>
  <c r="DJ74" i="9"/>
  <c r="DK74" i="9"/>
  <c r="CZ74" i="9"/>
  <c r="DB74" i="9"/>
  <c r="DD74" i="9"/>
  <c r="CM74" i="9"/>
  <c r="CN74" i="9"/>
  <c r="CO74" i="9"/>
  <c r="CQ74" i="9"/>
  <c r="CR74" i="9"/>
  <c r="DL74" i="9"/>
  <c r="DA74" i="9"/>
  <c r="CT74" i="9"/>
  <c r="DJ75" i="9"/>
  <c r="DK75" i="9"/>
  <c r="CZ75" i="9"/>
  <c r="DB75" i="9"/>
  <c r="DD75" i="9"/>
  <c r="CM75" i="9"/>
  <c r="CN75" i="9"/>
  <c r="CO75" i="9"/>
  <c r="CQ75" i="9"/>
  <c r="CR75" i="9"/>
  <c r="DL75" i="9"/>
  <c r="DA75" i="9"/>
  <c r="CT75" i="9"/>
  <c r="DJ76" i="9"/>
  <c r="DK76" i="9"/>
  <c r="CZ76" i="9"/>
  <c r="DB76" i="9"/>
  <c r="DD76" i="9"/>
  <c r="CM76" i="9"/>
  <c r="CN76" i="9"/>
  <c r="CO76" i="9"/>
  <c r="CQ76" i="9"/>
  <c r="CR76" i="9"/>
  <c r="DL76" i="9"/>
  <c r="DA76" i="9"/>
  <c r="CT76" i="9"/>
  <c r="DJ77" i="9"/>
  <c r="DK77" i="9"/>
  <c r="CZ77" i="9"/>
  <c r="DB77" i="9"/>
  <c r="DD77" i="9"/>
  <c r="CM77" i="9"/>
  <c r="CN77" i="9"/>
  <c r="CO77" i="9"/>
  <c r="CQ77" i="9"/>
  <c r="CR77" i="9"/>
  <c r="DL77" i="9"/>
  <c r="DA77" i="9"/>
  <c r="CT77" i="9"/>
  <c r="DJ78" i="9"/>
  <c r="DK78" i="9"/>
  <c r="CZ78" i="9"/>
  <c r="DB78" i="9"/>
  <c r="DD78" i="9"/>
  <c r="CM78" i="9"/>
  <c r="CN78" i="9"/>
  <c r="CO78" i="9"/>
  <c r="CQ78" i="9"/>
  <c r="CR78" i="9"/>
  <c r="DL78" i="9"/>
  <c r="DA78" i="9"/>
  <c r="CT78" i="9"/>
  <c r="DJ79" i="9"/>
  <c r="DK79" i="9"/>
  <c r="CZ79" i="9"/>
  <c r="DB79" i="9"/>
  <c r="DD79" i="9"/>
  <c r="CM79" i="9"/>
  <c r="CN79" i="9"/>
  <c r="CO79" i="9"/>
  <c r="CQ79" i="9"/>
  <c r="CR79" i="9"/>
  <c r="DL79" i="9"/>
  <c r="DA79" i="9"/>
  <c r="CT79" i="9"/>
  <c r="DJ80" i="9"/>
  <c r="DK80" i="9"/>
  <c r="CZ80" i="9"/>
  <c r="DB80" i="9"/>
  <c r="DD80" i="9"/>
  <c r="CM80" i="9"/>
  <c r="CN80" i="9"/>
  <c r="CO80" i="9"/>
  <c r="CQ80" i="9"/>
  <c r="CR80" i="9"/>
  <c r="DL80" i="9"/>
  <c r="DA80" i="9"/>
  <c r="CT80" i="9"/>
  <c r="DJ81" i="9"/>
  <c r="DK81" i="9"/>
  <c r="CZ81" i="9"/>
  <c r="DB81" i="9"/>
  <c r="DD81" i="9"/>
  <c r="CM81" i="9"/>
  <c r="CN81" i="9"/>
  <c r="CO81" i="9"/>
  <c r="CQ81" i="9"/>
  <c r="CR81" i="9"/>
  <c r="DL81" i="9"/>
  <c r="DA81" i="9"/>
  <c r="CT81" i="9"/>
  <c r="DJ82" i="9"/>
  <c r="DK82" i="9"/>
  <c r="CZ82" i="9"/>
  <c r="DB82" i="9"/>
  <c r="DD82" i="9"/>
  <c r="CM82" i="9"/>
  <c r="CN82" i="9"/>
  <c r="CO82" i="9"/>
  <c r="CQ82" i="9"/>
  <c r="CR82" i="9"/>
  <c r="DL82" i="9"/>
  <c r="DA82" i="9"/>
  <c r="CT82" i="9"/>
  <c r="DJ83" i="9"/>
  <c r="DK83" i="9"/>
  <c r="CZ83" i="9"/>
  <c r="DB83" i="9"/>
  <c r="DD83" i="9"/>
  <c r="CM83" i="9"/>
  <c r="CN83" i="9"/>
  <c r="CO83" i="9"/>
  <c r="CQ83" i="9"/>
  <c r="CR83" i="9"/>
  <c r="DL83" i="9"/>
  <c r="DA83" i="9"/>
  <c r="CT83" i="9"/>
  <c r="DJ84" i="9"/>
  <c r="DK84" i="9"/>
  <c r="CZ84" i="9"/>
  <c r="DB84" i="9"/>
  <c r="DD84" i="9"/>
  <c r="CM84" i="9"/>
  <c r="CN84" i="9"/>
  <c r="CO84" i="9"/>
  <c r="CQ84" i="9"/>
  <c r="CR84" i="9"/>
  <c r="DL84" i="9"/>
  <c r="DA84" i="9"/>
  <c r="CT84" i="9"/>
  <c r="DG4" i="9"/>
  <c r="DF4" i="9"/>
  <c r="DF84" i="9"/>
  <c r="DG84" i="9"/>
  <c r="DH84" i="9" s="1"/>
  <c r="DF83" i="9"/>
  <c r="DG83" i="9"/>
  <c r="DH83" i="9" s="1"/>
  <c r="DF82" i="9"/>
  <c r="DG82" i="9"/>
  <c r="DH82" i="9" s="1"/>
  <c r="DF81" i="9"/>
  <c r="DG81" i="9"/>
  <c r="DH81" i="9" s="1"/>
  <c r="DF80" i="9"/>
  <c r="DG80" i="9"/>
  <c r="DH80" i="9" s="1"/>
  <c r="DF79" i="9"/>
  <c r="DG79" i="9"/>
  <c r="DH79" i="9" s="1"/>
  <c r="DF78" i="9"/>
  <c r="DG78" i="9"/>
  <c r="DH78" i="9" s="1"/>
  <c r="DF77" i="9"/>
  <c r="DG77" i="9"/>
  <c r="DH77" i="9" s="1"/>
  <c r="DF76" i="9"/>
  <c r="DG76" i="9"/>
  <c r="DH76" i="9" s="1"/>
  <c r="DF75" i="9"/>
  <c r="DG75" i="9"/>
  <c r="DH75" i="9" s="1"/>
  <c r="DF74" i="9"/>
  <c r="DG74" i="9"/>
  <c r="DH74" i="9" s="1"/>
  <c r="DF73" i="9"/>
  <c r="DG73" i="9"/>
  <c r="DH73" i="9" s="1"/>
  <c r="DF72" i="9"/>
  <c r="DG72" i="9"/>
  <c r="DH72" i="9" s="1"/>
  <c r="DF71" i="9"/>
  <c r="DG71" i="9"/>
  <c r="DH71" i="9" s="1"/>
  <c r="DF70" i="9"/>
  <c r="DG70" i="9"/>
  <c r="DH70" i="9" s="1"/>
  <c r="DF69" i="9"/>
  <c r="DG69" i="9"/>
  <c r="DH69" i="9" s="1"/>
  <c r="DF68" i="9"/>
  <c r="DG68" i="9"/>
  <c r="DH68" i="9" s="1"/>
  <c r="DF67" i="9"/>
  <c r="DG67" i="9"/>
  <c r="DH67" i="9" s="1"/>
  <c r="DF66" i="9"/>
  <c r="DG66" i="9"/>
  <c r="DH66" i="9" s="1"/>
  <c r="DF65" i="9"/>
  <c r="DG65" i="9"/>
  <c r="DH65" i="9" s="1"/>
  <c r="DF64" i="9"/>
  <c r="DG64" i="9"/>
  <c r="DH64" i="9" s="1"/>
  <c r="DF63" i="9"/>
  <c r="DG63" i="9"/>
  <c r="DH63" i="9" s="1"/>
  <c r="DF62" i="9"/>
  <c r="DG62" i="9"/>
  <c r="DH62" i="9" s="1"/>
  <c r="DF61" i="9"/>
  <c r="DG61" i="9"/>
  <c r="DH61" i="9" s="1"/>
  <c r="DF60" i="9"/>
  <c r="DG60" i="9"/>
  <c r="DH60" i="9" s="1"/>
  <c r="DF59" i="9"/>
  <c r="DG59" i="9"/>
  <c r="DH59" i="9" s="1"/>
  <c r="DF58" i="9"/>
  <c r="DG58" i="9"/>
  <c r="DH58" i="9" s="1"/>
  <c r="DF57" i="9"/>
  <c r="DG57" i="9"/>
  <c r="DH57" i="9" s="1"/>
  <c r="DF56" i="9"/>
  <c r="DG56" i="9"/>
  <c r="DH56" i="9" s="1"/>
  <c r="DF55" i="9"/>
  <c r="DG55" i="9"/>
  <c r="DH55" i="9" s="1"/>
  <c r="DF54" i="9"/>
  <c r="DG54" i="9"/>
  <c r="DH54" i="9" s="1"/>
  <c r="DF53" i="9"/>
  <c r="DG53" i="9"/>
  <c r="DH53" i="9" s="1"/>
  <c r="DF52" i="9"/>
  <c r="DG52" i="9"/>
  <c r="DH52" i="9" s="1"/>
  <c r="DF51" i="9"/>
  <c r="DG51" i="9"/>
  <c r="DH51" i="9" s="1"/>
  <c r="DF50" i="9"/>
  <c r="DG50" i="9"/>
  <c r="DH50" i="9" s="1"/>
  <c r="DF49" i="9"/>
  <c r="DG49" i="9"/>
  <c r="DH49" i="9" s="1"/>
  <c r="DF48" i="9"/>
  <c r="DG48" i="9"/>
  <c r="DH48" i="9" s="1"/>
  <c r="DF47" i="9"/>
  <c r="DG47" i="9"/>
  <c r="DH47" i="9" s="1"/>
  <c r="DF46" i="9"/>
  <c r="DG46" i="9"/>
  <c r="DH46" i="9" s="1"/>
  <c r="DF45" i="9"/>
  <c r="DG45" i="9"/>
  <c r="DH45" i="9" s="1"/>
  <c r="DF44" i="9"/>
  <c r="DG44" i="9"/>
  <c r="DH44" i="9" s="1"/>
  <c r="DF43" i="9"/>
  <c r="DG43" i="9"/>
  <c r="DH43" i="9" s="1"/>
  <c r="DF42" i="9"/>
  <c r="DG42" i="9"/>
  <c r="DH42" i="9" s="1"/>
  <c r="DF41" i="9"/>
  <c r="DG41" i="9"/>
  <c r="DH41" i="9" s="1"/>
  <c r="DF40" i="9"/>
  <c r="DG40" i="9"/>
  <c r="DH40" i="9" s="1"/>
  <c r="DF39" i="9"/>
  <c r="DG39" i="9"/>
  <c r="DH39" i="9" s="1"/>
  <c r="DF38" i="9"/>
  <c r="DG38" i="9"/>
  <c r="DH38" i="9" s="1"/>
  <c r="DF37" i="9"/>
  <c r="DG37" i="9"/>
  <c r="DH37" i="9" s="1"/>
  <c r="DF36" i="9"/>
  <c r="DG36" i="9"/>
  <c r="DH36" i="9" s="1"/>
  <c r="DF35" i="9"/>
  <c r="DG35" i="9"/>
  <c r="DH35" i="9" s="1"/>
  <c r="DF34" i="9"/>
  <c r="DG34" i="9"/>
  <c r="DH34" i="9" s="1"/>
  <c r="DF33" i="9"/>
  <c r="DG33" i="9"/>
  <c r="DH33" i="9" s="1"/>
  <c r="DF32" i="9"/>
  <c r="DG32" i="9"/>
  <c r="DH32" i="9" s="1"/>
  <c r="DF31" i="9"/>
  <c r="DG31" i="9"/>
  <c r="DH31" i="9" s="1"/>
  <c r="DF30" i="9"/>
  <c r="DG30" i="9"/>
  <c r="DH30" i="9" s="1"/>
  <c r="DF29" i="9"/>
  <c r="DG29" i="9"/>
  <c r="DH29" i="9" s="1"/>
  <c r="DF28" i="9"/>
  <c r="DG28" i="9"/>
  <c r="DH28" i="9" s="1"/>
  <c r="DF27" i="9"/>
  <c r="DG27" i="9"/>
  <c r="DH27" i="9" s="1"/>
  <c r="DF26" i="9"/>
  <c r="DG26" i="9"/>
  <c r="DH26" i="9" s="1"/>
  <c r="DF25" i="9"/>
  <c r="DG25" i="9"/>
  <c r="DH25" i="9" s="1"/>
  <c r="DF24" i="9"/>
  <c r="DG24" i="9"/>
  <c r="DH24" i="9" s="1"/>
  <c r="DF23" i="9"/>
  <c r="DG23" i="9"/>
  <c r="DH23" i="9" s="1"/>
  <c r="DF22" i="9"/>
  <c r="DG22" i="9"/>
  <c r="DH22" i="9" s="1"/>
  <c r="DF21" i="9"/>
  <c r="DG21" i="9"/>
  <c r="DH21" i="9" s="1"/>
  <c r="DF20" i="9"/>
  <c r="DG20" i="9"/>
  <c r="DH20" i="9" s="1"/>
  <c r="DF19" i="9"/>
  <c r="DG19" i="9"/>
  <c r="DH19" i="9" s="1"/>
  <c r="DF18" i="9"/>
  <c r="DG18" i="9"/>
  <c r="DH18" i="9" s="1"/>
  <c r="DF17" i="9"/>
  <c r="DG17" i="9"/>
  <c r="DH17" i="9" s="1"/>
  <c r="DF16" i="9"/>
  <c r="DG16" i="9"/>
  <c r="DH16" i="9" s="1"/>
  <c r="DF15" i="9"/>
  <c r="DG15" i="9"/>
  <c r="DH15" i="9" s="1"/>
  <c r="DF14" i="9"/>
  <c r="DG14" i="9"/>
  <c r="DH14" i="9" s="1"/>
  <c r="DF13" i="9"/>
  <c r="DG13" i="9"/>
  <c r="DH13" i="9" s="1"/>
  <c r="DF12" i="9"/>
  <c r="DG12" i="9"/>
  <c r="DH12" i="9" s="1"/>
  <c r="DF11" i="9"/>
  <c r="DG11" i="9"/>
  <c r="DH11" i="9" s="1"/>
  <c r="DF10" i="9"/>
  <c r="DG10" i="9"/>
  <c r="DH10" i="9" s="1"/>
  <c r="DF9" i="9"/>
  <c r="DG9" i="9"/>
  <c r="DH9" i="9" s="1"/>
  <c r="DF8" i="9"/>
  <c r="DG8" i="9"/>
  <c r="DH8" i="9" s="1"/>
  <c r="DF7" i="9"/>
  <c r="DG7" i="9"/>
  <c r="DH7" i="9" s="1"/>
  <c r="DF6" i="9"/>
  <c r="DG6" i="9"/>
  <c r="DH6" i="9" s="1"/>
  <c r="DF5" i="9"/>
  <c r="DG5" i="9"/>
  <c r="DH5" i="9" s="1"/>
  <c r="CB4" i="9"/>
  <c r="BZ4" i="9"/>
  <c r="BY4" i="9"/>
  <c r="BR4" i="9"/>
  <c r="BP4" i="9"/>
  <c r="BO4" i="9"/>
  <c r="BN4" i="9"/>
  <c r="CE4" i="9"/>
  <c r="BX4" i="9"/>
  <c r="BY5" i="9"/>
  <c r="BZ5" i="9"/>
  <c r="CB5" i="9"/>
  <c r="BN5" i="9"/>
  <c r="BO5" i="9"/>
  <c r="BP5" i="9"/>
  <c r="BR5" i="9"/>
  <c r="BX5" i="9"/>
  <c r="CC5" i="9"/>
  <c r="CE5" i="9"/>
  <c r="BY6" i="9"/>
  <c r="BZ6" i="9"/>
  <c r="CB6" i="9"/>
  <c r="BN6" i="9"/>
  <c r="BO6" i="9"/>
  <c r="BP6" i="9"/>
  <c r="BR6" i="9"/>
  <c r="BX6" i="9"/>
  <c r="CC6" i="9"/>
  <c r="CE6" i="9"/>
  <c r="BY7" i="9"/>
  <c r="BZ7" i="9"/>
  <c r="CB7" i="9"/>
  <c r="BN7" i="9"/>
  <c r="BO7" i="9"/>
  <c r="BP7" i="9"/>
  <c r="BR7" i="9"/>
  <c r="BX7" i="9"/>
  <c r="CC7" i="9"/>
  <c r="CE7" i="9"/>
  <c r="BY8" i="9"/>
  <c r="BZ8" i="9"/>
  <c r="CB8" i="9"/>
  <c r="BN8" i="9"/>
  <c r="BO8" i="9"/>
  <c r="BP8" i="9"/>
  <c r="BR8" i="9"/>
  <c r="BX8" i="9"/>
  <c r="CC8" i="9"/>
  <c r="CE8" i="9"/>
  <c r="BY9" i="9"/>
  <c r="BZ9" i="9"/>
  <c r="CB9" i="9"/>
  <c r="BN9" i="9"/>
  <c r="BO9" i="9"/>
  <c r="BP9" i="9"/>
  <c r="BR9" i="9"/>
  <c r="BX9" i="9"/>
  <c r="CC9" i="9"/>
  <c r="CE9" i="9"/>
  <c r="BY10" i="9"/>
  <c r="BZ10" i="9"/>
  <c r="CB10" i="9"/>
  <c r="BN10" i="9"/>
  <c r="BO10" i="9"/>
  <c r="BP10" i="9"/>
  <c r="BR10" i="9"/>
  <c r="BX10" i="9"/>
  <c r="CC10" i="9"/>
  <c r="CE10" i="9"/>
  <c r="BY11" i="9"/>
  <c r="BZ11" i="9"/>
  <c r="CB11" i="9"/>
  <c r="BN11" i="9"/>
  <c r="BO11" i="9"/>
  <c r="BP11" i="9"/>
  <c r="BR11" i="9"/>
  <c r="BX11" i="9"/>
  <c r="CC11" i="9"/>
  <c r="CE11" i="9"/>
  <c r="BY12" i="9"/>
  <c r="BZ12" i="9"/>
  <c r="CB12" i="9"/>
  <c r="BN12" i="9"/>
  <c r="BO12" i="9"/>
  <c r="BP12" i="9"/>
  <c r="BR12" i="9"/>
  <c r="BX12" i="9"/>
  <c r="CC12" i="9"/>
  <c r="CE12" i="9"/>
  <c r="BY13" i="9"/>
  <c r="BZ13" i="9"/>
  <c r="CB13" i="9"/>
  <c r="BN13" i="9"/>
  <c r="BO13" i="9"/>
  <c r="BP13" i="9"/>
  <c r="BR13" i="9"/>
  <c r="BX13" i="9"/>
  <c r="CC13" i="9"/>
  <c r="CE13" i="9"/>
  <c r="BY14" i="9"/>
  <c r="BZ14" i="9"/>
  <c r="CB14" i="9"/>
  <c r="BN14" i="9"/>
  <c r="BO14" i="9"/>
  <c r="BP14" i="9"/>
  <c r="BR14" i="9"/>
  <c r="BX14" i="9"/>
  <c r="CC14" i="9"/>
  <c r="CE14" i="9"/>
  <c r="BY15" i="9"/>
  <c r="BZ15" i="9"/>
  <c r="CB15" i="9"/>
  <c r="BN15" i="9"/>
  <c r="BO15" i="9"/>
  <c r="BP15" i="9"/>
  <c r="BR15" i="9"/>
  <c r="BX15" i="9"/>
  <c r="CC15" i="9"/>
  <c r="CE15" i="9"/>
  <c r="BY16" i="9"/>
  <c r="BZ16" i="9"/>
  <c r="CB16" i="9"/>
  <c r="BN16" i="9"/>
  <c r="BO16" i="9"/>
  <c r="BP16" i="9"/>
  <c r="BR16" i="9"/>
  <c r="BX16" i="9"/>
  <c r="CC16" i="9"/>
  <c r="CE16" i="9"/>
  <c r="BX17" i="9"/>
  <c r="BY17" i="9"/>
  <c r="BZ17" i="9"/>
  <c r="CB17" i="9"/>
  <c r="BN17" i="9"/>
  <c r="BO17" i="9"/>
  <c r="BP17" i="9"/>
  <c r="BR17" i="9"/>
  <c r="CC17" i="9"/>
  <c r="CE17" i="9"/>
  <c r="BX18" i="9"/>
  <c r="BY18" i="9"/>
  <c r="BZ18" i="9"/>
  <c r="CB18" i="9"/>
  <c r="BN18" i="9"/>
  <c r="BO18" i="9"/>
  <c r="BP18" i="9"/>
  <c r="BR18" i="9"/>
  <c r="CC18" i="9"/>
  <c r="CE18" i="9"/>
  <c r="BX19" i="9"/>
  <c r="BY19" i="9"/>
  <c r="BZ19" i="9"/>
  <c r="CB19" i="9"/>
  <c r="BN19" i="9"/>
  <c r="BO19" i="9"/>
  <c r="BP19" i="9"/>
  <c r="BR19" i="9"/>
  <c r="CC19" i="9"/>
  <c r="CE19" i="9"/>
  <c r="BX20" i="9"/>
  <c r="BY20" i="9"/>
  <c r="BZ20" i="9"/>
  <c r="CB20" i="9"/>
  <c r="BN20" i="9"/>
  <c r="BO20" i="9"/>
  <c r="BP20" i="9"/>
  <c r="BR20" i="9"/>
  <c r="CC20" i="9"/>
  <c r="CE20" i="9"/>
  <c r="BX21" i="9"/>
  <c r="BY21" i="9"/>
  <c r="BZ21" i="9"/>
  <c r="CB21" i="9"/>
  <c r="BN21" i="9"/>
  <c r="BO21" i="9"/>
  <c r="BP21" i="9"/>
  <c r="BR21" i="9"/>
  <c r="CC21" i="9"/>
  <c r="CE21" i="9"/>
  <c r="BX22" i="9"/>
  <c r="BY22" i="9"/>
  <c r="BZ22" i="9"/>
  <c r="CB22" i="9"/>
  <c r="BO22" i="9"/>
  <c r="BR22" i="9"/>
  <c r="CC22" i="9"/>
  <c r="CE22" i="9"/>
  <c r="BX23" i="9"/>
  <c r="BY23" i="9"/>
  <c r="BZ23" i="9"/>
  <c r="CB23" i="9"/>
  <c r="BO23" i="9"/>
  <c r="BR23" i="9"/>
  <c r="CC23" i="9"/>
  <c r="CE23" i="9"/>
  <c r="BX24" i="9"/>
  <c r="BY24" i="9"/>
  <c r="BZ24" i="9"/>
  <c r="CB24" i="9"/>
  <c r="BO24" i="9"/>
  <c r="BR24" i="9"/>
  <c r="CC24" i="9"/>
  <c r="CE24" i="9"/>
  <c r="BX25" i="9"/>
  <c r="BY25" i="9"/>
  <c r="BZ25" i="9"/>
  <c r="CB25" i="9"/>
  <c r="BO25" i="9"/>
  <c r="BR25" i="9"/>
  <c r="CC25" i="9"/>
  <c r="CE25" i="9"/>
  <c r="BX26" i="9"/>
  <c r="BY26" i="9"/>
  <c r="BZ26" i="9"/>
  <c r="CB26" i="9"/>
  <c r="BO26" i="9"/>
  <c r="BR26" i="9"/>
  <c r="CC26" i="9"/>
  <c r="CE26" i="9"/>
  <c r="BX27" i="9"/>
  <c r="BY27" i="9"/>
  <c r="BZ27" i="9"/>
  <c r="CB27" i="9"/>
  <c r="BO27" i="9"/>
  <c r="BR27" i="9"/>
  <c r="CC27" i="9"/>
  <c r="CE27" i="9"/>
  <c r="BX28" i="9"/>
  <c r="BY28" i="9"/>
  <c r="BZ28" i="9"/>
  <c r="CB28" i="9"/>
  <c r="BO28" i="9"/>
  <c r="BR28" i="9"/>
  <c r="CC28" i="9"/>
  <c r="CE28" i="9"/>
  <c r="BX29" i="9"/>
  <c r="BY29" i="9"/>
  <c r="BZ29" i="9"/>
  <c r="CB29" i="9"/>
  <c r="BO29" i="9"/>
  <c r="BR29" i="9"/>
  <c r="CC29" i="9"/>
  <c r="CE29" i="9"/>
  <c r="BX30" i="9"/>
  <c r="BY30" i="9"/>
  <c r="BZ30" i="9"/>
  <c r="CB30" i="9"/>
  <c r="BO30" i="9"/>
  <c r="BR30" i="9"/>
  <c r="CC30" i="9"/>
  <c r="CE30" i="9"/>
  <c r="BX31" i="9"/>
  <c r="BY31" i="9"/>
  <c r="BZ31" i="9"/>
  <c r="CB31" i="9"/>
  <c r="BO31" i="9"/>
  <c r="BR31" i="9"/>
  <c r="CC31" i="9"/>
  <c r="CE31" i="9"/>
  <c r="BX32" i="9"/>
  <c r="BY32" i="9"/>
  <c r="BZ32" i="9"/>
  <c r="CB32" i="9"/>
  <c r="BO32" i="9"/>
  <c r="BR32" i="9"/>
  <c r="CC32" i="9"/>
  <c r="CE32" i="9"/>
  <c r="BX33" i="9"/>
  <c r="BY33" i="9"/>
  <c r="BZ33" i="9"/>
  <c r="CB33" i="9"/>
  <c r="BO33" i="9"/>
  <c r="BR33" i="9"/>
  <c r="CC33" i="9"/>
  <c r="CE33" i="9"/>
  <c r="BX34" i="9"/>
  <c r="BY34" i="9"/>
  <c r="BZ34" i="9"/>
  <c r="CB34" i="9"/>
  <c r="BO34" i="9"/>
  <c r="BR34" i="9"/>
  <c r="CC34" i="9"/>
  <c r="CE34" i="9"/>
  <c r="BX35" i="9"/>
  <c r="BY35" i="9"/>
  <c r="BZ35" i="9"/>
  <c r="CB35" i="9"/>
  <c r="BO35" i="9"/>
  <c r="BR35" i="9"/>
  <c r="CC35" i="9"/>
  <c r="CE35" i="9"/>
  <c r="BX36" i="9"/>
  <c r="BY36" i="9"/>
  <c r="BZ36" i="9"/>
  <c r="CB36" i="9"/>
  <c r="BO36" i="9"/>
  <c r="BR36" i="9"/>
  <c r="CC36" i="9"/>
  <c r="CE36" i="9"/>
  <c r="BX37" i="9"/>
  <c r="BY37" i="9"/>
  <c r="BZ37" i="9"/>
  <c r="CB37" i="9"/>
  <c r="BO37" i="9"/>
  <c r="BR37" i="9"/>
  <c r="CC37" i="9"/>
  <c r="CE37" i="9"/>
  <c r="BX38" i="9"/>
  <c r="BY38" i="9"/>
  <c r="BZ38" i="9"/>
  <c r="CB38" i="9"/>
  <c r="BO38" i="9"/>
  <c r="BR38" i="9"/>
  <c r="CC38" i="9"/>
  <c r="CE38" i="9"/>
  <c r="BX39" i="9"/>
  <c r="BY39" i="9"/>
  <c r="BZ39" i="9"/>
  <c r="CB39" i="9"/>
  <c r="BO39" i="9"/>
  <c r="BR39" i="9"/>
  <c r="CC39" i="9"/>
  <c r="CE39" i="9"/>
  <c r="BX40" i="9"/>
  <c r="BY40" i="9"/>
  <c r="BZ40" i="9"/>
  <c r="CB40" i="9"/>
  <c r="BO40" i="9"/>
  <c r="BR40" i="9"/>
  <c r="CC40" i="9"/>
  <c r="CE40" i="9"/>
  <c r="BX41" i="9"/>
  <c r="BY41" i="9"/>
  <c r="BZ41" i="9"/>
  <c r="CB41" i="9"/>
  <c r="BO41" i="9"/>
  <c r="BR41" i="9"/>
  <c r="CC41" i="9"/>
  <c r="CE41" i="9"/>
  <c r="BX42" i="9"/>
  <c r="BY42" i="9"/>
  <c r="BZ42" i="9"/>
  <c r="CB42" i="9"/>
  <c r="BO42" i="9"/>
  <c r="BR42" i="9"/>
  <c r="CC42" i="9"/>
  <c r="CE42" i="9"/>
  <c r="BX43" i="9"/>
  <c r="BY43" i="9"/>
  <c r="BZ43" i="9"/>
  <c r="CB43" i="9"/>
  <c r="BO43" i="9"/>
  <c r="BR43" i="9"/>
  <c r="CC43" i="9"/>
  <c r="CE43" i="9"/>
  <c r="BX44" i="9"/>
  <c r="BY44" i="9"/>
  <c r="BZ44" i="9"/>
  <c r="CB44" i="9"/>
  <c r="BO44" i="9"/>
  <c r="BR44" i="9"/>
  <c r="CC44" i="9"/>
  <c r="CE44" i="9"/>
  <c r="BX45" i="9"/>
  <c r="BY45" i="9"/>
  <c r="BZ45" i="9"/>
  <c r="CB45" i="9"/>
  <c r="BO45" i="9"/>
  <c r="BR45" i="9"/>
  <c r="CC45" i="9"/>
  <c r="CE45" i="9"/>
  <c r="BX46" i="9"/>
  <c r="BY46" i="9"/>
  <c r="BZ46" i="9"/>
  <c r="CB46" i="9"/>
  <c r="BO46" i="9"/>
  <c r="BR46" i="9"/>
  <c r="CC46" i="9"/>
  <c r="CE46" i="9"/>
  <c r="BX47" i="9"/>
  <c r="BY47" i="9"/>
  <c r="BZ47" i="9"/>
  <c r="CB47" i="9"/>
  <c r="BO47" i="9"/>
  <c r="BR47" i="9"/>
  <c r="CC47" i="9"/>
  <c r="CE47" i="9"/>
  <c r="BX48" i="9"/>
  <c r="BY48" i="9"/>
  <c r="BZ48" i="9"/>
  <c r="CB48" i="9"/>
  <c r="BO48" i="9"/>
  <c r="BR48" i="9"/>
  <c r="CC48" i="9"/>
  <c r="CE48" i="9"/>
  <c r="BX49" i="9"/>
  <c r="BY49" i="9"/>
  <c r="BZ49" i="9"/>
  <c r="CB49" i="9"/>
  <c r="BO49" i="9"/>
  <c r="BR49" i="9"/>
  <c r="CC49" i="9"/>
  <c r="CE49" i="9"/>
  <c r="BX50" i="9"/>
  <c r="BY50" i="9"/>
  <c r="BZ50" i="9"/>
  <c r="CB50" i="9"/>
  <c r="BO50" i="9"/>
  <c r="BR50" i="9"/>
  <c r="CC50" i="9"/>
  <c r="CE50" i="9"/>
  <c r="BX51" i="9"/>
  <c r="BY51" i="9"/>
  <c r="BZ51" i="9"/>
  <c r="CB51" i="9"/>
  <c r="BO51" i="9"/>
  <c r="BR51" i="9"/>
  <c r="CC51" i="9"/>
  <c r="CE51" i="9"/>
  <c r="BX52" i="9"/>
  <c r="BY52" i="9"/>
  <c r="BZ52" i="9"/>
  <c r="CB52" i="9"/>
  <c r="BO52" i="9"/>
  <c r="BR52" i="9"/>
  <c r="CC52" i="9"/>
  <c r="CE52" i="9"/>
  <c r="BX53" i="9"/>
  <c r="BY53" i="9"/>
  <c r="BZ53" i="9"/>
  <c r="CB53" i="9"/>
  <c r="BO53" i="9"/>
  <c r="BR53" i="9"/>
  <c r="CC53" i="9"/>
  <c r="CE53" i="9"/>
  <c r="BX54" i="9"/>
  <c r="BY54" i="9"/>
  <c r="BZ54" i="9"/>
  <c r="CB54" i="9"/>
  <c r="BO54" i="9"/>
  <c r="BR54" i="9"/>
  <c r="CC54" i="9"/>
  <c r="CE54" i="9"/>
  <c r="BX55" i="9"/>
  <c r="BY55" i="9"/>
  <c r="BZ55" i="9"/>
  <c r="CB55" i="9"/>
  <c r="BO55" i="9"/>
  <c r="BR55" i="9"/>
  <c r="CC55" i="9"/>
  <c r="CE55" i="9"/>
  <c r="BX56" i="9"/>
  <c r="BY56" i="9"/>
  <c r="BZ56" i="9"/>
  <c r="CB56" i="9"/>
  <c r="BO56" i="9"/>
  <c r="BR56" i="9"/>
  <c r="CC56" i="9"/>
  <c r="CE56" i="9"/>
  <c r="BX57" i="9"/>
  <c r="BY57" i="9"/>
  <c r="BZ57" i="9"/>
  <c r="CB57" i="9"/>
  <c r="BO57" i="9"/>
  <c r="BR57" i="9"/>
  <c r="CC57" i="9"/>
  <c r="CE57" i="9"/>
  <c r="BX58" i="9"/>
  <c r="BY58" i="9"/>
  <c r="BZ58" i="9"/>
  <c r="CB58" i="9"/>
  <c r="BO58" i="9"/>
  <c r="BR58" i="9"/>
  <c r="CC58" i="9"/>
  <c r="CE58" i="9"/>
  <c r="BX59" i="9"/>
  <c r="BY59" i="9"/>
  <c r="BZ59" i="9"/>
  <c r="CB59" i="9"/>
  <c r="BO59" i="9"/>
  <c r="BR59" i="9"/>
  <c r="CC59" i="9"/>
  <c r="CE59" i="9"/>
  <c r="BX60" i="9"/>
  <c r="BY60" i="9"/>
  <c r="BZ60" i="9"/>
  <c r="CB60" i="9"/>
  <c r="BO60" i="9"/>
  <c r="BR60" i="9"/>
  <c r="CC60" i="9"/>
  <c r="CE60" i="9"/>
  <c r="BX61" i="9"/>
  <c r="BY61" i="9"/>
  <c r="BZ61" i="9"/>
  <c r="CB61" i="9"/>
  <c r="BO61" i="9"/>
  <c r="BR61" i="9"/>
  <c r="CC61" i="9"/>
  <c r="CE61" i="9"/>
  <c r="BX62" i="9"/>
  <c r="BY62" i="9"/>
  <c r="BZ62" i="9"/>
  <c r="CB62" i="9"/>
  <c r="BO62" i="9"/>
  <c r="BR62" i="9"/>
  <c r="CC62" i="9"/>
  <c r="CE62" i="9"/>
  <c r="BX63" i="9"/>
  <c r="BY63" i="9"/>
  <c r="BZ63" i="9"/>
  <c r="CB63" i="9"/>
  <c r="BO63" i="9"/>
  <c r="BR63" i="9"/>
  <c r="CC63" i="9"/>
  <c r="CE63" i="9"/>
  <c r="BX64" i="9"/>
  <c r="BY64" i="9"/>
  <c r="BZ64" i="9"/>
  <c r="CB64" i="9"/>
  <c r="BO64" i="9"/>
  <c r="BR64" i="9"/>
  <c r="CC64" i="9"/>
  <c r="CE64" i="9"/>
  <c r="BX65" i="9"/>
  <c r="BY65" i="9"/>
  <c r="BZ65" i="9"/>
  <c r="CB65" i="9"/>
  <c r="BO65" i="9"/>
  <c r="BR65" i="9"/>
  <c r="CC65" i="9"/>
  <c r="CE65" i="9"/>
  <c r="BX66" i="9"/>
  <c r="BY66" i="9"/>
  <c r="BZ66" i="9"/>
  <c r="CB66" i="9"/>
  <c r="BO66" i="9"/>
  <c r="BR66" i="9"/>
  <c r="CC66" i="9"/>
  <c r="CE66" i="9"/>
  <c r="BX67" i="9"/>
  <c r="BY67" i="9"/>
  <c r="BZ67" i="9"/>
  <c r="CB67" i="9"/>
  <c r="BO67" i="9"/>
  <c r="BR67" i="9"/>
  <c r="CC67" i="9"/>
  <c r="CE67" i="9"/>
  <c r="BX68" i="9"/>
  <c r="BY68" i="9"/>
  <c r="BZ68" i="9"/>
  <c r="CB68" i="9"/>
  <c r="BO68" i="9"/>
  <c r="BR68" i="9"/>
  <c r="CC68" i="9"/>
  <c r="CE68" i="9"/>
  <c r="BX69" i="9"/>
  <c r="BY69" i="9"/>
  <c r="BZ69" i="9"/>
  <c r="CB69" i="9"/>
  <c r="BO69" i="9"/>
  <c r="BR69" i="9"/>
  <c r="CC69" i="9"/>
  <c r="CE69" i="9"/>
  <c r="BX70" i="9"/>
  <c r="BY70" i="9"/>
  <c r="BZ70" i="9"/>
  <c r="CB70" i="9"/>
  <c r="BO70" i="9"/>
  <c r="BR70" i="9"/>
  <c r="CC70" i="9"/>
  <c r="CE70" i="9"/>
  <c r="BX71" i="9"/>
  <c r="BY71" i="9"/>
  <c r="BZ71" i="9"/>
  <c r="CB71" i="9"/>
  <c r="BO71" i="9"/>
  <c r="BR71" i="9"/>
  <c r="CC71" i="9"/>
  <c r="CE71" i="9"/>
  <c r="BX72" i="9"/>
  <c r="BY72" i="9"/>
  <c r="BZ72" i="9"/>
  <c r="CB72" i="9"/>
  <c r="BO72" i="9"/>
  <c r="BR72" i="9"/>
  <c r="CC72" i="9"/>
  <c r="CE72" i="9"/>
  <c r="BX73" i="9"/>
  <c r="BY73" i="9"/>
  <c r="BZ73" i="9"/>
  <c r="CB73" i="9"/>
  <c r="BO73" i="9"/>
  <c r="BR73" i="9"/>
  <c r="CC73" i="9"/>
  <c r="CE73" i="9"/>
  <c r="BX74" i="9"/>
  <c r="BY74" i="9"/>
  <c r="BZ74" i="9"/>
  <c r="CB74" i="9"/>
  <c r="BO74" i="9"/>
  <c r="BR74" i="9"/>
  <c r="CC74" i="9"/>
  <c r="CE74" i="9"/>
  <c r="BX75" i="9"/>
  <c r="BY75" i="9"/>
  <c r="BZ75" i="9"/>
  <c r="CB75" i="9"/>
  <c r="BO75" i="9"/>
  <c r="BR75" i="9"/>
  <c r="CC75" i="9"/>
  <c r="CE75" i="9"/>
  <c r="BX76" i="9"/>
  <c r="BY76" i="9"/>
  <c r="BZ76" i="9"/>
  <c r="CB76" i="9"/>
  <c r="BO76" i="9"/>
  <c r="BR76" i="9"/>
  <c r="CC76" i="9"/>
  <c r="CE76" i="9"/>
  <c r="BX77" i="9"/>
  <c r="BY77" i="9"/>
  <c r="BZ77" i="9"/>
  <c r="CB77" i="9"/>
  <c r="BO77" i="9"/>
  <c r="BR77" i="9"/>
  <c r="CC77" i="9"/>
  <c r="CE77" i="9"/>
  <c r="BX78" i="9"/>
  <c r="BY78" i="9"/>
  <c r="BZ78" i="9"/>
  <c r="CB78" i="9"/>
  <c r="BO78" i="9"/>
  <c r="BR78" i="9"/>
  <c r="CC78" i="9"/>
  <c r="CE78" i="9"/>
  <c r="BX79" i="9"/>
  <c r="BY79" i="9"/>
  <c r="BZ79" i="9"/>
  <c r="CB79" i="9"/>
  <c r="BO79" i="9"/>
  <c r="BR79" i="9"/>
  <c r="CC79" i="9"/>
  <c r="CE79" i="9"/>
  <c r="BX80" i="9"/>
  <c r="BY80" i="9"/>
  <c r="BZ80" i="9"/>
  <c r="CB80" i="9"/>
  <c r="BO80" i="9"/>
  <c r="BR80" i="9"/>
  <c r="CC80" i="9"/>
  <c r="CE80" i="9"/>
  <c r="BX81" i="9"/>
  <c r="BY81" i="9"/>
  <c r="BZ81" i="9"/>
  <c r="CB81" i="9"/>
  <c r="BO81" i="9"/>
  <c r="BR81" i="9"/>
  <c r="CC81" i="9"/>
  <c r="CE81" i="9"/>
  <c r="BX82" i="9"/>
  <c r="BY82" i="9"/>
  <c r="BZ82" i="9"/>
  <c r="CB82" i="9"/>
  <c r="BO82" i="9"/>
  <c r="BR82" i="9"/>
  <c r="CC82" i="9"/>
  <c r="CE82" i="9"/>
  <c r="BX83" i="9"/>
  <c r="BY83" i="9"/>
  <c r="BZ83" i="9"/>
  <c r="CB83" i="9"/>
  <c r="BO83" i="9"/>
  <c r="BR83" i="9"/>
  <c r="CC83" i="9"/>
  <c r="CE83" i="9"/>
  <c r="BX84" i="9"/>
  <c r="BY84" i="9"/>
  <c r="BZ84" i="9"/>
  <c r="CB84" i="9"/>
  <c r="BO84" i="9"/>
  <c r="BR84" i="9"/>
  <c r="CC84" i="9"/>
  <c r="CE84" i="9"/>
  <c r="BU4" i="9"/>
  <c r="BT4" i="9"/>
  <c r="CG5" i="9"/>
  <c r="CF5" i="9"/>
  <c r="CG6" i="9"/>
  <c r="CF6" i="9"/>
  <c r="CG7" i="9"/>
  <c r="CF7" i="9"/>
  <c r="CG8" i="9"/>
  <c r="CF8" i="9"/>
  <c r="CG9" i="9"/>
  <c r="CF9" i="9"/>
  <c r="CG10" i="9"/>
  <c r="CF10" i="9"/>
  <c r="CG11" i="9"/>
  <c r="CF11" i="9"/>
  <c r="CG12" i="9"/>
  <c r="CF12" i="9"/>
  <c r="CG13" i="9"/>
  <c r="CF13" i="9"/>
  <c r="CG14" i="9"/>
  <c r="CF14" i="9"/>
  <c r="CG15" i="9"/>
  <c r="CF15" i="9"/>
  <c r="CG16" i="9"/>
  <c r="CF16" i="9"/>
  <c r="CG17" i="9"/>
  <c r="CF17" i="9"/>
  <c r="CG18" i="9"/>
  <c r="CF18" i="9"/>
  <c r="CG19" i="9"/>
  <c r="CF19" i="9"/>
  <c r="CG20" i="9"/>
  <c r="CF20" i="9"/>
  <c r="CG21" i="9"/>
  <c r="CF21" i="9"/>
  <c r="CG22" i="9"/>
  <c r="CF22" i="9"/>
  <c r="CG23" i="9"/>
  <c r="CF23" i="9"/>
  <c r="CG24" i="9"/>
  <c r="CF24" i="9"/>
  <c r="CG25" i="9"/>
  <c r="CF25" i="9"/>
  <c r="CG26" i="9"/>
  <c r="CF26" i="9"/>
  <c r="CG27" i="9"/>
  <c r="CF27" i="9"/>
  <c r="CG28" i="9"/>
  <c r="CF28" i="9"/>
  <c r="CG29" i="9"/>
  <c r="CF29" i="9"/>
  <c r="CG30" i="9"/>
  <c r="CF30" i="9"/>
  <c r="CG31" i="9"/>
  <c r="CF31" i="9"/>
  <c r="CG32" i="9"/>
  <c r="CF32" i="9"/>
  <c r="CG33" i="9"/>
  <c r="CF33" i="9"/>
  <c r="CG34" i="9"/>
  <c r="CF34" i="9"/>
  <c r="CG35" i="9"/>
  <c r="CF35" i="9"/>
  <c r="CG36" i="9"/>
  <c r="CF36" i="9"/>
  <c r="CG37" i="9"/>
  <c r="CF37" i="9"/>
  <c r="CG38" i="9"/>
  <c r="CF38" i="9"/>
  <c r="CG39" i="9"/>
  <c r="CF39" i="9"/>
  <c r="CG40" i="9"/>
  <c r="CF40" i="9"/>
  <c r="CG41" i="9"/>
  <c r="CF41" i="9"/>
  <c r="CG42" i="9"/>
  <c r="CF42" i="9"/>
  <c r="CG43" i="9"/>
  <c r="CF43" i="9"/>
  <c r="CG44" i="9"/>
  <c r="CF44" i="9"/>
  <c r="CG45" i="9"/>
  <c r="CF45" i="9"/>
  <c r="CG46" i="9"/>
  <c r="CF46" i="9"/>
  <c r="CG47" i="9"/>
  <c r="CF47" i="9"/>
  <c r="CG48" i="9"/>
  <c r="CF48" i="9"/>
  <c r="CG49" i="9"/>
  <c r="CF49" i="9"/>
  <c r="CG50" i="9"/>
  <c r="CF50" i="9"/>
  <c r="CG51" i="9"/>
  <c r="CF51" i="9"/>
  <c r="CG52" i="9"/>
  <c r="CF52" i="9"/>
  <c r="CG53" i="9"/>
  <c r="CF53" i="9"/>
  <c r="CG54" i="9"/>
  <c r="CF54" i="9"/>
  <c r="CG55" i="9"/>
  <c r="CF55" i="9"/>
  <c r="CG56" i="9"/>
  <c r="CF56" i="9"/>
  <c r="CG57" i="9"/>
  <c r="CF57" i="9"/>
  <c r="CG58" i="9"/>
  <c r="CF58" i="9"/>
  <c r="CG59" i="9"/>
  <c r="CF59" i="9"/>
  <c r="CG60" i="9"/>
  <c r="CF60" i="9"/>
  <c r="CG61" i="9"/>
  <c r="CF61" i="9"/>
  <c r="CG62" i="9"/>
  <c r="CF62" i="9"/>
  <c r="CG63" i="9"/>
  <c r="CF63" i="9"/>
  <c r="CG64" i="9"/>
  <c r="CF64" i="9"/>
  <c r="CG65" i="9"/>
  <c r="CF65" i="9"/>
  <c r="CG66" i="9"/>
  <c r="CF66" i="9"/>
  <c r="CG67" i="9"/>
  <c r="CF67" i="9"/>
  <c r="CG68" i="9"/>
  <c r="CF68" i="9"/>
  <c r="CG69" i="9"/>
  <c r="CF69" i="9"/>
  <c r="CG70" i="9"/>
  <c r="CF70" i="9"/>
  <c r="CG71" i="9"/>
  <c r="CF71" i="9"/>
  <c r="CG72" i="9"/>
  <c r="CF72" i="9"/>
  <c r="CG73" i="9"/>
  <c r="CF73" i="9"/>
  <c r="CG74" i="9"/>
  <c r="CF74" i="9"/>
  <c r="CG75" i="9"/>
  <c r="CF75" i="9"/>
  <c r="CG76" i="9"/>
  <c r="CF76" i="9"/>
  <c r="CG77" i="9"/>
  <c r="CF77" i="9"/>
  <c r="CG78" i="9"/>
  <c r="CF78" i="9"/>
  <c r="CG79" i="9"/>
  <c r="CF79" i="9"/>
  <c r="CG80" i="9"/>
  <c r="CF80" i="9"/>
  <c r="CG81" i="9"/>
  <c r="CF81" i="9"/>
  <c r="CG82" i="9"/>
  <c r="CF82" i="9"/>
  <c r="CG83" i="9"/>
  <c r="CF83" i="9"/>
  <c r="CG84" i="9"/>
  <c r="CF84" i="9"/>
  <c r="BJ4" i="9"/>
  <c r="BI4" i="9"/>
  <c r="BH4" i="8"/>
  <c r="BG4" i="8"/>
  <c r="BG84" i="8"/>
  <c r="BH84" i="8"/>
  <c r="BG83" i="8"/>
  <c r="BH83" i="8"/>
  <c r="BG82" i="8"/>
  <c r="BH82" i="8"/>
  <c r="BG81" i="8"/>
  <c r="BH81" i="8"/>
  <c r="BG80" i="8"/>
  <c r="BH80" i="8"/>
  <c r="BG79" i="8"/>
  <c r="BH79" i="8"/>
  <c r="BG78" i="8"/>
  <c r="BH78" i="8"/>
  <c r="BG77" i="8"/>
  <c r="BH77" i="8"/>
  <c r="BG76" i="8"/>
  <c r="BH76" i="8"/>
  <c r="BG75" i="8"/>
  <c r="BH75" i="8"/>
  <c r="BG74" i="8"/>
  <c r="BH74" i="8"/>
  <c r="BG73" i="8"/>
  <c r="BH73" i="8"/>
  <c r="BG72" i="8"/>
  <c r="BH72" i="8"/>
  <c r="BG71" i="8"/>
  <c r="BH71" i="8"/>
  <c r="BG70" i="8"/>
  <c r="BH70" i="8"/>
  <c r="BG69" i="8"/>
  <c r="BH69" i="8"/>
  <c r="BG68" i="8"/>
  <c r="BH68" i="8"/>
  <c r="BG67" i="8"/>
  <c r="BH67" i="8"/>
  <c r="BG66" i="8"/>
  <c r="BH66" i="8"/>
  <c r="BG65" i="8"/>
  <c r="BH65" i="8"/>
  <c r="BG64" i="8"/>
  <c r="BH64" i="8"/>
  <c r="BG63" i="8"/>
  <c r="BH63" i="8"/>
  <c r="BG62" i="8"/>
  <c r="BH62" i="8"/>
  <c r="BG61" i="8"/>
  <c r="BH61" i="8"/>
  <c r="BG60" i="8"/>
  <c r="BH60" i="8"/>
  <c r="BG59" i="8"/>
  <c r="BH59" i="8"/>
  <c r="BG58" i="8"/>
  <c r="BH58" i="8"/>
  <c r="BG57" i="8"/>
  <c r="BH57" i="8"/>
  <c r="BG56" i="8"/>
  <c r="BH56" i="8"/>
  <c r="BG55" i="8"/>
  <c r="BH55" i="8"/>
  <c r="BG54" i="8"/>
  <c r="BH54" i="8"/>
  <c r="BG53" i="8"/>
  <c r="BH53" i="8"/>
  <c r="BG52" i="8"/>
  <c r="BH52" i="8"/>
  <c r="BG51" i="8"/>
  <c r="BH51" i="8"/>
  <c r="BG50" i="8"/>
  <c r="BH50" i="8"/>
  <c r="BG49" i="8"/>
  <c r="BH49" i="8"/>
  <c r="BG48" i="8"/>
  <c r="BH48" i="8"/>
  <c r="BG47" i="8"/>
  <c r="BH47" i="8"/>
  <c r="BG46" i="8"/>
  <c r="BH46" i="8"/>
  <c r="BG45" i="8"/>
  <c r="BH45" i="8"/>
  <c r="BG44" i="8"/>
  <c r="BH44" i="8"/>
  <c r="BG43" i="8"/>
  <c r="BH43" i="8"/>
  <c r="BG42" i="8"/>
  <c r="BH42" i="8"/>
  <c r="BG41" i="8"/>
  <c r="BH41" i="8"/>
  <c r="BG40" i="8"/>
  <c r="BH40" i="8"/>
  <c r="BG39" i="8"/>
  <c r="BH39" i="8"/>
  <c r="BG38" i="8"/>
  <c r="BH38" i="8"/>
  <c r="BG37" i="8"/>
  <c r="BH37" i="8"/>
  <c r="BG36" i="8"/>
  <c r="BH36" i="8"/>
  <c r="BG35" i="8"/>
  <c r="BH35" i="8"/>
  <c r="BG34" i="8"/>
  <c r="BH34" i="8"/>
  <c r="BG33" i="8"/>
  <c r="BH33" i="8"/>
  <c r="BG32" i="8"/>
  <c r="BH32" i="8"/>
  <c r="BG31" i="8"/>
  <c r="BH31" i="8"/>
  <c r="BG30" i="8"/>
  <c r="BH30" i="8"/>
  <c r="BG29" i="8"/>
  <c r="BH29" i="8"/>
  <c r="BG28" i="8"/>
  <c r="BH28" i="8"/>
  <c r="BG27" i="8"/>
  <c r="BH27" i="8"/>
  <c r="BG26" i="8"/>
  <c r="BH26" i="8"/>
  <c r="BG25" i="8"/>
  <c r="BH25" i="8"/>
  <c r="BG24" i="8"/>
  <c r="BH24" i="8"/>
  <c r="BG23" i="8"/>
  <c r="BH23" i="8"/>
  <c r="BG22" i="8"/>
  <c r="BH22" i="8"/>
  <c r="BG21" i="8"/>
  <c r="BH21" i="8"/>
  <c r="BG20" i="8"/>
  <c r="BH20" i="8"/>
  <c r="BG19" i="8"/>
  <c r="BH19" i="8"/>
  <c r="BG18" i="8"/>
  <c r="BH18" i="8"/>
  <c r="BG17" i="8"/>
  <c r="BH17" i="8"/>
  <c r="BG16" i="8"/>
  <c r="BH16" i="8"/>
  <c r="BG15" i="8"/>
  <c r="BH15" i="8"/>
  <c r="BG14" i="8"/>
  <c r="BH14" i="8"/>
  <c r="BG13" i="8"/>
  <c r="BH13" i="8"/>
  <c r="BG12" i="8"/>
  <c r="BH12" i="8"/>
  <c r="BG11" i="8"/>
  <c r="BH11" i="8"/>
  <c r="BG10" i="8"/>
  <c r="BH10" i="8"/>
  <c r="BG9" i="8"/>
  <c r="BH9" i="8"/>
  <c r="BG8" i="8"/>
  <c r="BH8" i="8"/>
  <c r="BG7" i="8"/>
  <c r="BH7" i="8"/>
  <c r="BG6" i="8"/>
  <c r="BH6" i="8"/>
  <c r="BG5" i="8"/>
  <c r="BH5" i="8"/>
  <c r="AX4" i="9"/>
  <c r="AV4" i="9"/>
  <c r="AV5" i="9"/>
  <c r="AX5" i="9"/>
  <c r="AV6" i="9"/>
  <c r="AX6" i="9"/>
  <c r="AV7" i="9"/>
  <c r="AX7" i="9"/>
  <c r="AV8" i="9"/>
  <c r="AX8" i="9"/>
  <c r="AV9" i="9"/>
  <c r="AX9" i="9"/>
  <c r="AV10" i="9"/>
  <c r="AX10" i="9"/>
  <c r="AV11" i="9"/>
  <c r="AX11" i="9"/>
  <c r="AV12" i="9"/>
  <c r="AX12" i="9"/>
  <c r="AV13" i="9"/>
  <c r="AX13" i="9"/>
  <c r="AV14" i="9"/>
  <c r="AX14" i="9"/>
  <c r="AV15" i="9"/>
  <c r="AX15" i="9"/>
  <c r="AV16" i="9"/>
  <c r="AX16" i="9"/>
  <c r="AV17" i="9"/>
  <c r="AX17" i="9"/>
  <c r="AV18" i="9"/>
  <c r="AX18" i="9"/>
  <c r="AV19" i="9"/>
  <c r="AX19" i="9"/>
  <c r="AV20" i="9"/>
  <c r="AX20" i="9"/>
  <c r="AV21" i="9"/>
  <c r="AX21" i="9"/>
  <c r="AV22" i="9"/>
  <c r="AX22" i="9"/>
  <c r="AV23" i="9"/>
  <c r="AX23" i="9"/>
  <c r="AV24" i="9"/>
  <c r="AX24" i="9"/>
  <c r="AV25" i="9"/>
  <c r="AX25" i="9"/>
  <c r="AV26" i="9"/>
  <c r="AX26" i="9"/>
  <c r="AV27" i="9"/>
  <c r="AX27" i="9"/>
  <c r="AV28" i="9"/>
  <c r="AX28" i="9"/>
  <c r="AV29" i="9"/>
  <c r="AX29" i="9"/>
  <c r="AV30" i="9"/>
  <c r="AX30" i="9"/>
  <c r="AV31" i="9"/>
  <c r="AX31" i="9"/>
  <c r="AV32" i="9"/>
  <c r="AX32" i="9"/>
  <c r="AV33" i="9"/>
  <c r="AX33" i="9"/>
  <c r="AV34" i="9"/>
  <c r="AX34" i="9"/>
  <c r="AV35" i="9"/>
  <c r="AX35" i="9"/>
  <c r="AV36" i="9"/>
  <c r="AX36" i="9"/>
  <c r="AV37" i="9"/>
  <c r="AX37" i="9"/>
  <c r="AV38" i="9"/>
  <c r="AX38" i="9"/>
  <c r="AV39" i="9"/>
  <c r="AX39" i="9"/>
  <c r="AV40" i="9"/>
  <c r="AX40" i="9"/>
  <c r="AV41" i="9"/>
  <c r="AX41" i="9"/>
  <c r="AV42" i="9"/>
  <c r="AX42" i="9"/>
  <c r="AV43" i="9"/>
  <c r="AX43" i="9"/>
  <c r="AV44" i="9"/>
  <c r="AX44" i="9"/>
  <c r="AV45" i="9"/>
  <c r="AX45" i="9"/>
  <c r="AV46" i="9"/>
  <c r="AX46" i="9"/>
  <c r="AV47" i="9"/>
  <c r="AX47" i="9"/>
  <c r="AV48" i="9"/>
  <c r="AX48" i="9"/>
  <c r="AV49" i="9"/>
  <c r="AX49" i="9"/>
  <c r="AV50" i="9"/>
  <c r="AX50" i="9"/>
  <c r="AV51" i="9"/>
  <c r="AX51" i="9"/>
  <c r="AV52" i="9"/>
  <c r="AX52" i="9"/>
  <c r="AV53" i="9"/>
  <c r="AX53" i="9"/>
  <c r="AV54" i="9"/>
  <c r="AX54" i="9"/>
  <c r="AV55" i="9"/>
  <c r="AX55" i="9"/>
  <c r="AV56" i="9"/>
  <c r="AX56" i="9"/>
  <c r="AV57" i="9"/>
  <c r="AX57" i="9"/>
  <c r="AV58" i="9"/>
  <c r="AX58" i="9"/>
  <c r="AV59" i="9"/>
  <c r="AX59" i="9"/>
  <c r="AV60" i="9"/>
  <c r="AX60" i="9"/>
  <c r="AV61" i="9"/>
  <c r="AX61" i="9"/>
  <c r="AV62" i="9"/>
  <c r="AX62" i="9"/>
  <c r="AV63" i="9"/>
  <c r="AX63" i="9"/>
  <c r="AV64" i="9"/>
  <c r="AX64" i="9"/>
  <c r="AV65" i="9"/>
  <c r="AX65" i="9"/>
  <c r="AV66" i="9"/>
  <c r="AX66" i="9"/>
  <c r="AV67" i="9"/>
  <c r="AX67" i="9"/>
  <c r="AV68" i="9"/>
  <c r="AX68" i="9"/>
  <c r="AV69" i="9"/>
  <c r="AX69" i="9"/>
  <c r="AV70" i="9"/>
  <c r="AX70" i="9"/>
  <c r="AV71" i="9"/>
  <c r="AX71" i="9"/>
  <c r="AV72" i="9"/>
  <c r="AX72" i="9"/>
  <c r="AV73" i="9"/>
  <c r="AX73" i="9"/>
  <c r="AV74" i="9"/>
  <c r="AX74" i="9"/>
  <c r="AV75" i="9"/>
  <c r="AX75" i="9"/>
  <c r="AV76" i="9"/>
  <c r="AX76" i="9"/>
  <c r="AV77" i="9"/>
  <c r="AX77" i="9"/>
  <c r="AV78" i="9"/>
  <c r="AX78" i="9"/>
  <c r="AV79" i="9"/>
  <c r="AX79" i="9"/>
  <c r="AV80" i="9"/>
  <c r="AX80" i="9"/>
  <c r="AV81" i="9"/>
  <c r="AX81" i="9"/>
  <c r="AV82" i="9"/>
  <c r="AX82" i="9"/>
  <c r="AV83" i="9"/>
  <c r="AX83" i="9"/>
  <c r="AV84" i="9"/>
  <c r="AX84" i="9"/>
  <c r="T4" i="9"/>
  <c r="AN4" i="9"/>
  <c r="AL4" i="9"/>
  <c r="T5" i="9"/>
  <c r="AL5" i="9"/>
  <c r="AN5" i="9"/>
  <c r="T6" i="9"/>
  <c r="AL6" i="9"/>
  <c r="AN6" i="9"/>
  <c r="T7" i="9"/>
  <c r="AL7" i="9"/>
  <c r="AN7" i="9"/>
  <c r="T8" i="9"/>
  <c r="AL8" i="9"/>
  <c r="AN8" i="9"/>
  <c r="T9" i="9"/>
  <c r="AL9" i="9"/>
  <c r="AN9" i="9"/>
  <c r="T10" i="9"/>
  <c r="AL10" i="9"/>
  <c r="AN10" i="9"/>
  <c r="T11" i="9"/>
  <c r="AL11" i="9"/>
  <c r="AN11" i="9"/>
  <c r="T12" i="9"/>
  <c r="AL12" i="9"/>
  <c r="AN12" i="9"/>
  <c r="T13" i="9"/>
  <c r="AL13" i="9"/>
  <c r="AN13" i="9"/>
  <c r="T14" i="9"/>
  <c r="AL14" i="9"/>
  <c r="AN14" i="9"/>
  <c r="T15" i="9"/>
  <c r="AL15" i="9"/>
  <c r="AN15" i="9"/>
  <c r="T16" i="9"/>
  <c r="AL16" i="9"/>
  <c r="AN16" i="9"/>
  <c r="T17" i="9"/>
  <c r="AL17" i="9"/>
  <c r="AN17" i="9"/>
  <c r="T18" i="9"/>
  <c r="AL18" i="9"/>
  <c r="AN18" i="9"/>
  <c r="T19" i="9"/>
  <c r="AL19" i="9"/>
  <c r="AN19" i="9"/>
  <c r="T20" i="9"/>
  <c r="AL20" i="9"/>
  <c r="AN20" i="9"/>
  <c r="T21" i="9"/>
  <c r="AL21" i="9"/>
  <c r="AN21" i="9"/>
  <c r="T22" i="9"/>
  <c r="AL22" i="9"/>
  <c r="AN22" i="9"/>
  <c r="T23" i="9"/>
  <c r="AL23" i="9"/>
  <c r="AN23" i="9"/>
  <c r="T24" i="9"/>
  <c r="AL24" i="9"/>
  <c r="AN24" i="9"/>
  <c r="T25" i="9"/>
  <c r="AL25" i="9"/>
  <c r="AN25" i="9"/>
  <c r="T26" i="9"/>
  <c r="AL26" i="9"/>
  <c r="AN26" i="9"/>
  <c r="T27" i="9"/>
  <c r="AL27" i="9"/>
  <c r="AN27" i="9"/>
  <c r="T28" i="9"/>
  <c r="AL28" i="9"/>
  <c r="AN28" i="9"/>
  <c r="T29" i="9"/>
  <c r="AL29" i="9"/>
  <c r="AN29" i="9"/>
  <c r="T30" i="9"/>
  <c r="AL30" i="9"/>
  <c r="AN30" i="9"/>
  <c r="T31" i="9"/>
  <c r="AL31" i="9"/>
  <c r="AN31" i="9"/>
  <c r="T32" i="9"/>
  <c r="AL32" i="9"/>
  <c r="AN32" i="9"/>
  <c r="T33" i="9"/>
  <c r="AL33" i="9"/>
  <c r="AN33" i="9"/>
  <c r="T34" i="9"/>
  <c r="AL34" i="9"/>
  <c r="AN34" i="9"/>
  <c r="T35" i="9"/>
  <c r="AL35" i="9"/>
  <c r="AN35" i="9"/>
  <c r="T36" i="9"/>
  <c r="AL36" i="9"/>
  <c r="AN36" i="9"/>
  <c r="T37" i="9"/>
  <c r="AL37" i="9"/>
  <c r="AN37" i="9"/>
  <c r="T38" i="9"/>
  <c r="AL38" i="9"/>
  <c r="AN38" i="9"/>
  <c r="T39" i="9"/>
  <c r="AL39" i="9"/>
  <c r="AN39" i="9"/>
  <c r="T40" i="9"/>
  <c r="AL40" i="9"/>
  <c r="AN40" i="9"/>
  <c r="T41" i="9"/>
  <c r="AL41" i="9"/>
  <c r="AN41" i="9"/>
  <c r="T42" i="9"/>
  <c r="AL42" i="9"/>
  <c r="AN42" i="9"/>
  <c r="T43" i="9"/>
  <c r="AL43" i="9"/>
  <c r="AN43" i="9"/>
  <c r="T44" i="9"/>
  <c r="AL44" i="9"/>
  <c r="AN44" i="9"/>
  <c r="T45" i="9"/>
  <c r="AL45" i="9"/>
  <c r="AN45" i="9"/>
  <c r="T46" i="9"/>
  <c r="AL46" i="9"/>
  <c r="AN46" i="9"/>
  <c r="T47" i="9"/>
  <c r="AL47" i="9"/>
  <c r="AN47" i="9"/>
  <c r="T48" i="9"/>
  <c r="AL48" i="9"/>
  <c r="AN48" i="9"/>
  <c r="T49" i="9"/>
  <c r="AL49" i="9"/>
  <c r="AN49" i="9"/>
  <c r="T50" i="9"/>
  <c r="AL50" i="9"/>
  <c r="AN50" i="9"/>
  <c r="T51" i="9"/>
  <c r="AL51" i="9"/>
  <c r="AN51" i="9"/>
  <c r="T52" i="9"/>
  <c r="AL52" i="9"/>
  <c r="AN52" i="9"/>
  <c r="T53" i="9"/>
  <c r="AL53" i="9"/>
  <c r="AN53" i="9"/>
  <c r="T54" i="9"/>
  <c r="AL54" i="9"/>
  <c r="AN54" i="9"/>
  <c r="T55" i="9"/>
  <c r="AL55" i="9"/>
  <c r="AN55" i="9"/>
  <c r="T56" i="9"/>
  <c r="AL56" i="9"/>
  <c r="AN56" i="9"/>
  <c r="T57" i="9"/>
  <c r="AL57" i="9"/>
  <c r="AN57" i="9"/>
  <c r="T58" i="9"/>
  <c r="AL58" i="9"/>
  <c r="AN58" i="9"/>
  <c r="T59" i="9"/>
  <c r="AL59" i="9"/>
  <c r="AN59" i="9"/>
  <c r="T60" i="9"/>
  <c r="AL60" i="9"/>
  <c r="AN60" i="9"/>
  <c r="T61" i="9"/>
  <c r="AL61" i="9"/>
  <c r="AN61" i="9"/>
  <c r="T62" i="9"/>
  <c r="AL62" i="9"/>
  <c r="AN62" i="9"/>
  <c r="T63" i="9"/>
  <c r="AL63" i="9"/>
  <c r="AN63" i="9"/>
  <c r="T64" i="9"/>
  <c r="AL64" i="9"/>
  <c r="AN64" i="9"/>
  <c r="T65" i="9"/>
  <c r="AL65" i="9"/>
  <c r="AN65" i="9"/>
  <c r="T66" i="9"/>
  <c r="AL66" i="9"/>
  <c r="AN66" i="9"/>
  <c r="T67" i="9"/>
  <c r="AL67" i="9"/>
  <c r="AN67" i="9"/>
  <c r="T68" i="9"/>
  <c r="AL68" i="9"/>
  <c r="AN68" i="9"/>
  <c r="T69" i="9"/>
  <c r="AL69" i="9"/>
  <c r="AN69" i="9"/>
  <c r="T70" i="9"/>
  <c r="AL70" i="9"/>
  <c r="AN70" i="9"/>
  <c r="T71" i="9"/>
  <c r="AL71" i="9"/>
  <c r="AN71" i="9"/>
  <c r="T72" i="9"/>
  <c r="AL72" i="9"/>
  <c r="AN72" i="9"/>
  <c r="T73" i="9"/>
  <c r="AL73" i="9"/>
  <c r="AN73" i="9"/>
  <c r="T74" i="9"/>
  <c r="AL74" i="9"/>
  <c r="AN74" i="9"/>
  <c r="T75" i="9"/>
  <c r="AL75" i="9"/>
  <c r="AN75" i="9"/>
  <c r="T76" i="9"/>
  <c r="AL76" i="9"/>
  <c r="AN76" i="9"/>
  <c r="T77" i="9"/>
  <c r="AL77" i="9"/>
  <c r="AN77" i="9"/>
  <c r="T78" i="9"/>
  <c r="AL78" i="9"/>
  <c r="AN78" i="9"/>
  <c r="T79" i="9"/>
  <c r="AL79" i="9"/>
  <c r="AN79" i="9"/>
  <c r="T80" i="9"/>
  <c r="AL80" i="9"/>
  <c r="AN80" i="9"/>
  <c r="T81" i="9"/>
  <c r="AL81" i="9"/>
  <c r="AN81" i="9"/>
  <c r="T82" i="9"/>
  <c r="AL82" i="9"/>
  <c r="AN82" i="9"/>
  <c r="T83" i="9"/>
  <c r="AL83" i="9"/>
  <c r="AN83" i="9"/>
  <c r="T84" i="9"/>
  <c r="AL84" i="9"/>
  <c r="AN84" i="9"/>
  <c r="K4" i="9"/>
  <c r="J4" i="9"/>
  <c r="H5" i="9"/>
  <c r="J5" i="9"/>
  <c r="K5" i="9"/>
  <c r="I5" i="9"/>
  <c r="H6" i="9"/>
  <c r="J6" i="9"/>
  <c r="K6" i="9"/>
  <c r="I6" i="9"/>
  <c r="H7" i="9"/>
  <c r="J7" i="9"/>
  <c r="K7" i="9"/>
  <c r="I7" i="9"/>
  <c r="H8" i="9"/>
  <c r="J8" i="9"/>
  <c r="K8" i="9"/>
  <c r="I8" i="9"/>
  <c r="H9" i="9"/>
  <c r="J9" i="9"/>
  <c r="K9" i="9"/>
  <c r="I9" i="9"/>
  <c r="H10" i="9"/>
  <c r="J10" i="9"/>
  <c r="K10" i="9"/>
  <c r="I10" i="9"/>
  <c r="H11" i="9"/>
  <c r="J11" i="9"/>
  <c r="K11" i="9"/>
  <c r="I11" i="9"/>
  <c r="H12" i="9"/>
  <c r="J12" i="9"/>
  <c r="K12" i="9"/>
  <c r="I12" i="9"/>
  <c r="H13" i="9"/>
  <c r="J13" i="9"/>
  <c r="K13" i="9"/>
  <c r="I13" i="9"/>
  <c r="H14" i="9"/>
  <c r="J14" i="9"/>
  <c r="K14" i="9"/>
  <c r="I14" i="9"/>
  <c r="H15" i="9"/>
  <c r="J15" i="9"/>
  <c r="K15" i="9"/>
  <c r="I15" i="9"/>
  <c r="H16" i="9"/>
  <c r="J16" i="9"/>
  <c r="K16" i="9"/>
  <c r="I16" i="9"/>
  <c r="H17" i="9"/>
  <c r="J17" i="9"/>
  <c r="K17" i="9"/>
  <c r="I17" i="9"/>
  <c r="H18" i="9"/>
  <c r="J18" i="9"/>
  <c r="K18" i="9"/>
  <c r="I18" i="9"/>
  <c r="H19" i="9"/>
  <c r="J19" i="9"/>
  <c r="K19" i="9"/>
  <c r="I19" i="9"/>
  <c r="H20" i="9"/>
  <c r="J20" i="9"/>
  <c r="K20" i="9"/>
  <c r="I20" i="9"/>
  <c r="H21" i="9"/>
  <c r="J21" i="9"/>
  <c r="K21" i="9"/>
  <c r="I21" i="9"/>
  <c r="H22" i="9"/>
  <c r="J22" i="9"/>
  <c r="K22" i="9"/>
  <c r="I22" i="9"/>
  <c r="H23" i="9"/>
  <c r="J23" i="9"/>
  <c r="K23" i="9"/>
  <c r="I23" i="9"/>
  <c r="H24" i="9"/>
  <c r="J24" i="9"/>
  <c r="K24" i="9"/>
  <c r="I24" i="9"/>
  <c r="H25" i="9"/>
  <c r="J25" i="9"/>
  <c r="K25" i="9"/>
  <c r="I25" i="9"/>
  <c r="H26" i="9"/>
  <c r="J26" i="9"/>
  <c r="K26" i="9"/>
  <c r="I26" i="9"/>
  <c r="H27" i="9"/>
  <c r="J27" i="9"/>
  <c r="K27" i="9"/>
  <c r="I27" i="9"/>
  <c r="H28" i="9"/>
  <c r="J28" i="9"/>
  <c r="K28" i="9"/>
  <c r="I28" i="9"/>
  <c r="H29" i="9"/>
  <c r="J29" i="9"/>
  <c r="K29" i="9"/>
  <c r="I29" i="9"/>
  <c r="H30" i="9"/>
  <c r="J30" i="9"/>
  <c r="K30" i="9"/>
  <c r="I30" i="9"/>
  <c r="H31" i="9"/>
  <c r="J31" i="9"/>
  <c r="K31" i="9"/>
  <c r="I31" i="9"/>
  <c r="H32" i="9"/>
  <c r="J32" i="9"/>
  <c r="K32" i="9"/>
  <c r="I32" i="9"/>
  <c r="H33" i="9"/>
  <c r="J33" i="9"/>
  <c r="K33" i="9"/>
  <c r="I33" i="9"/>
  <c r="H34" i="9"/>
  <c r="J34" i="9"/>
  <c r="K34" i="9"/>
  <c r="I34" i="9"/>
  <c r="H35" i="9"/>
  <c r="J35" i="9"/>
  <c r="K35" i="9"/>
  <c r="I35" i="9"/>
  <c r="H36" i="9"/>
  <c r="J36" i="9"/>
  <c r="K36" i="9"/>
  <c r="I36" i="9"/>
  <c r="H37" i="9"/>
  <c r="J37" i="9"/>
  <c r="K37" i="9"/>
  <c r="I37" i="9"/>
  <c r="H38" i="9"/>
  <c r="J38" i="9"/>
  <c r="K38" i="9"/>
  <c r="I38" i="9"/>
  <c r="H39" i="9"/>
  <c r="J39" i="9"/>
  <c r="K39" i="9"/>
  <c r="I39" i="9"/>
  <c r="H40" i="9"/>
  <c r="J40" i="9"/>
  <c r="K40" i="9"/>
  <c r="I40" i="9"/>
  <c r="H41" i="9"/>
  <c r="J41" i="9"/>
  <c r="K41" i="9"/>
  <c r="I41" i="9"/>
  <c r="H42" i="9"/>
  <c r="J42" i="9"/>
  <c r="K42" i="9"/>
  <c r="I42" i="9"/>
  <c r="H43" i="9"/>
  <c r="J43" i="9"/>
  <c r="K43" i="9"/>
  <c r="I43" i="9"/>
  <c r="H44" i="9"/>
  <c r="J44" i="9"/>
  <c r="K44" i="9"/>
  <c r="I44" i="9"/>
  <c r="H45" i="9"/>
  <c r="J45" i="9"/>
  <c r="K45" i="9"/>
  <c r="I45" i="9"/>
  <c r="H46" i="9"/>
  <c r="J46" i="9"/>
  <c r="K46" i="9"/>
  <c r="I46" i="9"/>
  <c r="H47" i="9"/>
  <c r="J47" i="9"/>
  <c r="K47" i="9"/>
  <c r="I47" i="9"/>
  <c r="H48" i="9"/>
  <c r="J48" i="9"/>
  <c r="K48" i="9"/>
  <c r="I48" i="9"/>
  <c r="H49" i="9"/>
  <c r="J49" i="9"/>
  <c r="K49" i="9"/>
  <c r="I49" i="9"/>
  <c r="H50" i="9"/>
  <c r="J50" i="9"/>
  <c r="K50" i="9"/>
  <c r="I50" i="9"/>
  <c r="H51" i="9"/>
  <c r="J51" i="9"/>
  <c r="K51" i="9"/>
  <c r="I51" i="9"/>
  <c r="H52" i="9"/>
  <c r="J52" i="9"/>
  <c r="K52" i="9"/>
  <c r="I52" i="9"/>
  <c r="H53" i="9"/>
  <c r="J53" i="9"/>
  <c r="K53" i="9"/>
  <c r="I53" i="9"/>
  <c r="H54" i="9"/>
  <c r="J54" i="9"/>
  <c r="K54" i="9"/>
  <c r="I54" i="9"/>
  <c r="H55" i="9"/>
  <c r="J55" i="9"/>
  <c r="K55" i="9"/>
  <c r="I55" i="9"/>
  <c r="H56" i="9"/>
  <c r="J56" i="9"/>
  <c r="K56" i="9"/>
  <c r="I56" i="9"/>
  <c r="H57" i="9"/>
  <c r="J57" i="9"/>
  <c r="K57" i="9"/>
  <c r="I57" i="9"/>
  <c r="H58" i="9"/>
  <c r="J58" i="9"/>
  <c r="K58" i="9"/>
  <c r="I58" i="9"/>
  <c r="H59" i="9"/>
  <c r="J59" i="9"/>
  <c r="K59" i="9"/>
  <c r="I59" i="9"/>
  <c r="H60" i="9"/>
  <c r="J60" i="9"/>
  <c r="K60" i="9"/>
  <c r="I60" i="9"/>
  <c r="H61" i="9"/>
  <c r="J61" i="9"/>
  <c r="K61" i="9"/>
  <c r="I61" i="9"/>
  <c r="H62" i="9"/>
  <c r="J62" i="9"/>
  <c r="K62" i="9"/>
  <c r="I62" i="9"/>
  <c r="H63" i="9"/>
  <c r="J63" i="9"/>
  <c r="K63" i="9"/>
  <c r="I63" i="9"/>
  <c r="H64" i="9"/>
  <c r="J64" i="9"/>
  <c r="K64" i="9"/>
  <c r="I64" i="9"/>
  <c r="H65" i="9"/>
  <c r="J65" i="9"/>
  <c r="K65" i="9"/>
  <c r="I65" i="9"/>
  <c r="H66" i="9"/>
  <c r="J66" i="9"/>
  <c r="K66" i="9"/>
  <c r="I66" i="9"/>
  <c r="H67" i="9"/>
  <c r="J67" i="9"/>
  <c r="K67" i="9"/>
  <c r="I67" i="9"/>
  <c r="H68" i="9"/>
  <c r="J68" i="9"/>
  <c r="K68" i="9"/>
  <c r="I68" i="9"/>
  <c r="H69" i="9"/>
  <c r="J69" i="9"/>
  <c r="K69" i="9"/>
  <c r="I69" i="9"/>
  <c r="H70" i="9"/>
  <c r="J70" i="9"/>
  <c r="K70" i="9"/>
  <c r="I70" i="9"/>
  <c r="H71" i="9"/>
  <c r="J71" i="9"/>
  <c r="K71" i="9"/>
  <c r="I71" i="9"/>
  <c r="H72" i="9"/>
  <c r="J72" i="9"/>
  <c r="K72" i="9"/>
  <c r="I72" i="9"/>
  <c r="H73" i="9"/>
  <c r="J73" i="9"/>
  <c r="K73" i="9"/>
  <c r="I73" i="9"/>
  <c r="H74" i="9"/>
  <c r="J74" i="9"/>
  <c r="K74" i="9"/>
  <c r="I74" i="9"/>
  <c r="H75" i="9"/>
  <c r="J75" i="9"/>
  <c r="K75" i="9"/>
  <c r="I75" i="9"/>
  <c r="H76" i="9"/>
  <c r="J76" i="9"/>
  <c r="K76" i="9"/>
  <c r="I76" i="9"/>
  <c r="H77" i="9"/>
  <c r="J77" i="9"/>
  <c r="K77" i="9"/>
  <c r="I77" i="9"/>
  <c r="H78" i="9"/>
  <c r="J78" i="9"/>
  <c r="K78" i="9"/>
  <c r="I78" i="9"/>
  <c r="H79" i="9"/>
  <c r="J79" i="9"/>
  <c r="K79" i="9"/>
  <c r="I79" i="9"/>
  <c r="H80" i="9"/>
  <c r="J80" i="9"/>
  <c r="K80" i="9"/>
  <c r="I80" i="9"/>
  <c r="H81" i="9"/>
  <c r="J81" i="9"/>
  <c r="K81" i="9"/>
  <c r="I81" i="9"/>
  <c r="H82" i="9"/>
  <c r="J82" i="9"/>
  <c r="K82" i="9"/>
  <c r="I82" i="9"/>
  <c r="H83" i="9"/>
  <c r="J83" i="9"/>
  <c r="K83" i="9"/>
  <c r="I83" i="9"/>
  <c r="H84" i="9"/>
  <c r="J84" i="9"/>
  <c r="K84" i="9"/>
  <c r="I84" i="9"/>
  <c r="E4" i="9"/>
  <c r="H4" i="9"/>
  <c r="G4" i="9"/>
  <c r="F4" i="9"/>
  <c r="I4" i="9"/>
  <c r="E5" i="9"/>
  <c r="F5" i="9"/>
  <c r="E6" i="9"/>
  <c r="F6" i="9"/>
  <c r="E7" i="9"/>
  <c r="F7" i="9"/>
  <c r="E8" i="9"/>
  <c r="F8" i="9"/>
  <c r="E9" i="9"/>
  <c r="F9" i="9"/>
  <c r="E10" i="9"/>
  <c r="F10" i="9"/>
  <c r="E11" i="9"/>
  <c r="F11" i="9"/>
  <c r="E12" i="9"/>
  <c r="F12" i="9"/>
  <c r="E13" i="9"/>
  <c r="F13" i="9"/>
  <c r="E14" i="9"/>
  <c r="F14" i="9"/>
  <c r="E15" i="9"/>
  <c r="F15" i="9"/>
  <c r="E16" i="9"/>
  <c r="F16" i="9"/>
  <c r="E17" i="9"/>
  <c r="F17" i="9"/>
  <c r="E18" i="9"/>
  <c r="F18" i="9"/>
  <c r="E19" i="9"/>
  <c r="F19" i="9"/>
  <c r="E20" i="9"/>
  <c r="F20" i="9"/>
  <c r="E21" i="9"/>
  <c r="F21" i="9"/>
  <c r="E22" i="9"/>
  <c r="F22" i="9"/>
  <c r="E23" i="9"/>
  <c r="F23" i="9"/>
  <c r="E24" i="9"/>
  <c r="F24" i="9"/>
  <c r="E25" i="9"/>
  <c r="F25" i="9"/>
  <c r="E26" i="9"/>
  <c r="F26" i="9"/>
  <c r="E27" i="9"/>
  <c r="F27" i="9"/>
  <c r="E28" i="9"/>
  <c r="F28" i="9"/>
  <c r="E29" i="9"/>
  <c r="F29" i="9"/>
  <c r="E30" i="9"/>
  <c r="F30" i="9"/>
  <c r="E31" i="9"/>
  <c r="F31" i="9"/>
  <c r="E32" i="9"/>
  <c r="F32" i="9"/>
  <c r="E33" i="9"/>
  <c r="F33" i="9"/>
  <c r="E34" i="9"/>
  <c r="F34" i="9"/>
  <c r="E35" i="9"/>
  <c r="F35" i="9"/>
  <c r="E36" i="9"/>
  <c r="F36" i="9"/>
  <c r="E37" i="9"/>
  <c r="F37" i="9"/>
  <c r="E38" i="9"/>
  <c r="F38" i="9"/>
  <c r="E39" i="9"/>
  <c r="F39" i="9"/>
  <c r="E40" i="9"/>
  <c r="F40" i="9"/>
  <c r="E41" i="9"/>
  <c r="F41" i="9"/>
  <c r="E42" i="9"/>
  <c r="F42" i="9"/>
  <c r="E43" i="9"/>
  <c r="F43" i="9"/>
  <c r="E44" i="9"/>
  <c r="F44" i="9"/>
  <c r="E45" i="9"/>
  <c r="F45" i="9"/>
  <c r="E46" i="9"/>
  <c r="F46" i="9"/>
  <c r="E47" i="9"/>
  <c r="F47" i="9"/>
  <c r="E48" i="9"/>
  <c r="F48" i="9"/>
  <c r="E49" i="9"/>
  <c r="F49" i="9"/>
  <c r="E50" i="9"/>
  <c r="F50" i="9"/>
  <c r="E51" i="9"/>
  <c r="F51" i="9"/>
  <c r="E52" i="9"/>
  <c r="F52" i="9"/>
  <c r="E53" i="9"/>
  <c r="F53" i="9"/>
  <c r="E54" i="9"/>
  <c r="F54" i="9"/>
  <c r="E55" i="9"/>
  <c r="F55" i="9"/>
  <c r="E56" i="9"/>
  <c r="F56" i="9"/>
  <c r="E57" i="9"/>
  <c r="F57" i="9"/>
  <c r="E58" i="9"/>
  <c r="F58" i="9"/>
  <c r="E59" i="9"/>
  <c r="F59" i="9"/>
  <c r="E60" i="9"/>
  <c r="F60" i="9"/>
  <c r="E61" i="9"/>
  <c r="F61" i="9"/>
  <c r="E62" i="9"/>
  <c r="F62" i="9"/>
  <c r="E63" i="9"/>
  <c r="F63" i="9"/>
  <c r="E64" i="9"/>
  <c r="F64" i="9"/>
  <c r="E65" i="9"/>
  <c r="F65" i="9"/>
  <c r="E66" i="9"/>
  <c r="F66" i="9"/>
  <c r="E67" i="9"/>
  <c r="F67" i="9"/>
  <c r="E68" i="9"/>
  <c r="F68" i="9"/>
  <c r="E69" i="9"/>
  <c r="F69" i="9"/>
  <c r="E70" i="9"/>
  <c r="F70" i="9"/>
  <c r="E71" i="9"/>
  <c r="F71" i="9"/>
  <c r="E72" i="9"/>
  <c r="F72" i="9"/>
  <c r="E73" i="9"/>
  <c r="F73" i="9"/>
  <c r="E74" i="9"/>
  <c r="F74" i="9"/>
  <c r="E75" i="9"/>
  <c r="F75" i="9"/>
  <c r="E76" i="9"/>
  <c r="F76" i="9"/>
  <c r="E77" i="9"/>
  <c r="F77" i="9"/>
  <c r="E78" i="9"/>
  <c r="F78" i="9"/>
  <c r="E79" i="9"/>
  <c r="F79" i="9"/>
  <c r="E80" i="9"/>
  <c r="F80" i="9"/>
  <c r="E81" i="9"/>
  <c r="F81" i="9"/>
  <c r="E82" i="9"/>
  <c r="F82" i="9"/>
  <c r="E83" i="9"/>
  <c r="F83" i="9"/>
  <c r="E84" i="9"/>
  <c r="F8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S38" i="2"/>
  <c r="C6" i="8"/>
  <c r="D311" i="2"/>
  <c r="E117" i="2"/>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4" i="8"/>
  <c r="C4" i="8"/>
  <c r="C5"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G42" i="2"/>
  <c r="B2" i="5"/>
  <c r="G258" i="2"/>
  <c r="G259" i="2"/>
  <c r="G260" i="2"/>
  <c r="G261" i="2"/>
  <c r="G262" i="2"/>
  <c r="G263" i="2"/>
  <c r="G264" i="2"/>
  <c r="G265" i="2"/>
  <c r="G266" i="2"/>
  <c r="G267" i="2"/>
  <c r="G268" i="2"/>
  <c r="G269" i="2"/>
  <c r="G270" i="2"/>
  <c r="G200" i="2"/>
  <c r="G201" i="2"/>
  <c r="G202" i="2"/>
  <c r="G203" i="2"/>
  <c r="G204" i="2"/>
  <c r="G205" i="2"/>
  <c r="G206" i="2"/>
  <c r="G207" i="2"/>
  <c r="G208" i="2"/>
  <c r="G209" i="2"/>
  <c r="G210" i="2"/>
  <c r="G211" i="2"/>
  <c r="J17" i="2"/>
  <c r="J16" i="2"/>
  <c r="I17" i="2"/>
  <c r="I16" i="2"/>
  <c r="M270" i="2"/>
  <c r="Q270" i="2"/>
  <c r="M269" i="2"/>
  <c r="E269" i="2"/>
  <c r="M268" i="2"/>
  <c r="Q268" i="2"/>
  <c r="M267" i="2"/>
  <c r="E267" i="2"/>
  <c r="M266" i="2"/>
  <c r="Q266" i="2"/>
  <c r="M265" i="2"/>
  <c r="E265" i="2"/>
  <c r="M264" i="2"/>
  <c r="Q264" i="2"/>
  <c r="M263" i="2"/>
  <c r="E263" i="2"/>
  <c r="M262" i="2"/>
  <c r="Q262" i="2"/>
  <c r="M261" i="2"/>
  <c r="E261" i="2"/>
  <c r="M260" i="2"/>
  <c r="Q260" i="2"/>
  <c r="M259" i="2"/>
  <c r="E259" i="2"/>
  <c r="S211" i="2"/>
  <c r="Q211" i="2"/>
  <c r="S210" i="2"/>
  <c r="Q210" i="2"/>
  <c r="E210" i="2"/>
  <c r="S209" i="2"/>
  <c r="Q209" i="2"/>
  <c r="S208" i="2"/>
  <c r="Q208" i="2"/>
  <c r="E208" i="2"/>
  <c r="S207" i="2"/>
  <c r="Q207" i="2"/>
  <c r="S206" i="2"/>
  <c r="Q206" i="2"/>
  <c r="E206" i="2"/>
  <c r="S205" i="2"/>
  <c r="Q205" i="2"/>
  <c r="S204" i="2"/>
  <c r="Q204" i="2"/>
  <c r="E204" i="2"/>
  <c r="S203" i="2"/>
  <c r="Q203" i="2"/>
  <c r="S202" i="2"/>
  <c r="Q202" i="2"/>
  <c r="E202" i="2"/>
  <c r="S201" i="2"/>
  <c r="Q201" i="2"/>
  <c r="S200" i="2"/>
  <c r="Q200" i="2"/>
  <c r="E200" i="2"/>
  <c r="Z166" i="2"/>
  <c r="K166" i="2"/>
  <c r="Z165" i="2"/>
  <c r="K165" i="2"/>
  <c r="G165" i="2"/>
  <c r="Z164" i="2"/>
  <c r="K164" i="2"/>
  <c r="Z163" i="2"/>
  <c r="K163" i="2"/>
  <c r="G163" i="2"/>
  <c r="Z162" i="2"/>
  <c r="K162" i="2"/>
  <c r="Z161" i="2"/>
  <c r="K161" i="2"/>
  <c r="G161" i="2"/>
  <c r="Z160" i="2"/>
  <c r="K160" i="2"/>
  <c r="Z159" i="2"/>
  <c r="K159" i="2"/>
  <c r="G159" i="2"/>
  <c r="Z158" i="2"/>
  <c r="K158" i="2"/>
  <c r="Z157" i="2"/>
  <c r="K157" i="2"/>
  <c r="G157" i="2"/>
  <c r="Z156" i="2"/>
  <c r="K156" i="2"/>
  <c r="Z155" i="2"/>
  <c r="K155" i="2"/>
  <c r="G155" i="2"/>
  <c r="S130" i="2"/>
  <c r="O130" i="2"/>
  <c r="G130" i="2"/>
  <c r="O129" i="2"/>
  <c r="G129" i="2"/>
  <c r="E129" i="2"/>
  <c r="S128" i="2"/>
  <c r="O128" i="2"/>
  <c r="G128" i="2"/>
  <c r="O127" i="2"/>
  <c r="G127" i="2"/>
  <c r="E127" i="2"/>
  <c r="S126" i="2"/>
  <c r="O126" i="2"/>
  <c r="G126" i="2"/>
  <c r="O125" i="2"/>
  <c r="G125" i="2"/>
  <c r="E125" i="2"/>
  <c r="S124" i="2"/>
  <c r="O124" i="2"/>
  <c r="G124" i="2"/>
  <c r="O123" i="2"/>
  <c r="G123" i="2"/>
  <c r="E123" i="2"/>
  <c r="S122" i="2"/>
  <c r="O122" i="2"/>
  <c r="G122" i="2"/>
  <c r="O121" i="2"/>
  <c r="G121" i="2"/>
  <c r="E121" i="2"/>
  <c r="S120" i="2"/>
  <c r="O120" i="2"/>
  <c r="G120" i="2"/>
  <c r="O119" i="2"/>
  <c r="G119" i="2"/>
  <c r="E119" i="2"/>
  <c r="O83" i="2"/>
  <c r="O82" i="2"/>
  <c r="G82" i="2"/>
  <c r="O81" i="2"/>
  <c r="O80" i="2"/>
  <c r="G80" i="2"/>
  <c r="O79" i="2"/>
  <c r="O78" i="2"/>
  <c r="G78" i="2"/>
  <c r="O77" i="2"/>
  <c r="O76" i="2"/>
  <c r="G76" i="2"/>
  <c r="O75" i="2"/>
  <c r="O74" i="2"/>
  <c r="G74" i="2"/>
  <c r="O73" i="2"/>
  <c r="O72" i="2"/>
  <c r="G72" i="2"/>
  <c r="S51" i="2"/>
  <c r="S50" i="2"/>
  <c r="G50" i="2"/>
  <c r="S49" i="2"/>
  <c r="S48" i="2"/>
  <c r="G48" i="2"/>
  <c r="S47" i="2"/>
  <c r="S46" i="2"/>
  <c r="G46" i="2"/>
  <c r="S45" i="2"/>
  <c r="S44" i="2"/>
  <c r="G44" i="2"/>
  <c r="S43" i="2"/>
  <c r="S42" i="2"/>
  <c r="S41" i="2"/>
  <c r="S40" i="2"/>
  <c r="G40" i="2"/>
  <c r="FD84" i="9" l="1"/>
  <c r="FC84" i="9"/>
  <c r="FD83" i="9"/>
  <c r="FC83" i="9"/>
  <c r="FD82" i="9"/>
  <c r="FC82" i="9"/>
  <c r="FD81" i="9"/>
  <c r="FC81" i="9"/>
  <c r="FD80" i="9"/>
  <c r="FC80" i="9"/>
  <c r="FD79" i="9"/>
  <c r="FC79" i="9"/>
  <c r="FD78" i="9"/>
  <c r="FC78" i="9"/>
  <c r="FD77" i="9"/>
  <c r="FC77" i="9"/>
  <c r="FD76" i="9"/>
  <c r="FC76" i="9"/>
  <c r="FD75" i="9"/>
  <c r="FC75" i="9"/>
  <c r="FD74" i="9"/>
  <c r="FC74" i="9"/>
  <c r="FD73" i="9"/>
  <c r="FC73" i="9"/>
  <c r="FD72" i="9"/>
  <c r="FC72" i="9"/>
  <c r="FD71" i="9"/>
  <c r="FC71" i="9"/>
  <c r="FD70" i="9"/>
  <c r="FC70" i="9"/>
  <c r="FD69" i="9"/>
  <c r="FC69" i="9"/>
  <c r="FD68" i="9"/>
  <c r="FC68" i="9"/>
  <c r="FD67" i="9"/>
  <c r="FC67" i="9"/>
  <c r="FD66" i="9"/>
  <c r="FC66" i="9"/>
  <c r="FD65" i="9"/>
  <c r="FC65" i="9"/>
  <c r="FD64" i="9"/>
  <c r="FC64" i="9"/>
  <c r="FD63" i="9"/>
  <c r="FC63" i="9"/>
  <c r="FD62" i="9"/>
  <c r="FC62" i="9"/>
  <c r="FD61" i="9"/>
  <c r="FC61" i="9"/>
  <c r="FD60" i="9"/>
  <c r="FC60" i="9"/>
  <c r="FD59" i="9"/>
  <c r="FC59" i="9"/>
  <c r="FD58" i="9"/>
  <c r="FC58" i="9"/>
  <c r="FD57" i="9"/>
  <c r="FC57" i="9"/>
  <c r="FD56" i="9"/>
  <c r="FC56" i="9"/>
  <c r="FD55" i="9"/>
  <c r="FC55" i="9"/>
  <c r="FD54" i="9"/>
  <c r="FC54" i="9"/>
  <c r="FD53" i="9"/>
  <c r="FC53" i="9"/>
  <c r="FD52" i="9"/>
  <c r="FC52" i="9"/>
  <c r="FD51" i="9"/>
  <c r="FC51" i="9"/>
  <c r="FD50" i="9"/>
  <c r="FC50" i="9"/>
  <c r="FD49" i="9"/>
  <c r="FC49" i="9"/>
  <c r="FD48" i="9"/>
  <c r="FC48" i="9"/>
  <c r="FD47" i="9"/>
  <c r="FC47" i="9"/>
  <c r="FD46" i="9"/>
  <c r="FC46" i="9"/>
  <c r="FD45" i="9"/>
  <c r="FC45" i="9"/>
  <c r="FD44" i="9"/>
  <c r="FC44" i="9"/>
  <c r="FD43" i="9"/>
  <c r="FC43" i="9"/>
  <c r="FD42" i="9"/>
  <c r="FC42" i="9"/>
  <c r="FD41" i="9"/>
  <c r="FC41" i="9"/>
  <c r="FD40" i="9"/>
  <c r="FC40" i="9"/>
  <c r="FD39" i="9"/>
  <c r="FC39" i="9"/>
  <c r="FD38" i="9"/>
  <c r="FC38" i="9"/>
  <c r="FD37" i="9"/>
  <c r="FC37" i="9"/>
  <c r="FD36" i="9"/>
  <c r="FC36" i="9"/>
  <c r="FD35" i="9"/>
  <c r="FC35" i="9"/>
  <c r="FD34" i="9"/>
  <c r="FC34" i="9"/>
  <c r="FD33" i="9"/>
  <c r="FC33" i="9"/>
  <c r="FD32" i="9"/>
  <c r="FC32" i="9"/>
  <c r="FD31" i="9"/>
  <c r="FC31" i="9"/>
  <c r="FD30" i="9"/>
  <c r="FC30" i="9"/>
  <c r="FD29" i="9"/>
  <c r="FC29" i="9"/>
  <c r="FD28" i="9"/>
  <c r="FC28" i="9"/>
  <c r="FD27" i="9"/>
  <c r="FC27" i="9"/>
  <c r="FD26" i="9"/>
  <c r="FC26" i="9"/>
  <c r="FD25" i="9"/>
  <c r="FC25" i="9"/>
  <c r="FD24" i="9"/>
  <c r="FC24" i="9"/>
  <c r="FD23" i="9"/>
  <c r="FC23" i="9"/>
  <c r="FD22" i="9"/>
  <c r="FC22" i="9"/>
  <c r="FD21" i="9"/>
  <c r="FC21" i="9"/>
  <c r="FD20" i="9"/>
  <c r="FC20" i="9"/>
  <c r="FD19" i="9"/>
  <c r="FC19" i="9"/>
  <c r="FD18" i="9"/>
  <c r="FC18" i="9"/>
  <c r="FD17" i="9"/>
  <c r="FC17" i="9"/>
  <c r="FD16" i="9"/>
  <c r="FC16" i="9"/>
  <c r="FD15" i="9"/>
  <c r="FC15" i="9"/>
  <c r="FD14" i="9"/>
  <c r="FC14" i="9"/>
  <c r="FD13" i="9"/>
  <c r="FC13" i="9"/>
  <c r="FD12" i="9"/>
  <c r="FC12" i="9"/>
  <c r="FD11" i="9"/>
  <c r="FC11" i="9"/>
  <c r="FD10" i="9"/>
  <c r="FC10" i="9"/>
  <c r="FD9" i="9"/>
  <c r="FC9" i="9"/>
  <c r="FD8" i="9"/>
  <c r="FC8" i="9"/>
  <c r="FD7" i="9"/>
  <c r="FC7" i="9"/>
  <c r="FD6" i="9"/>
  <c r="FC6" i="9"/>
  <c r="FD5" i="9"/>
  <c r="FC5" i="9"/>
  <c r="FD4" i="9"/>
  <c r="FC4" i="9"/>
  <c r="ES84" i="9"/>
  <c r="ER84" i="9"/>
  <c r="ES83" i="9"/>
  <c r="ER83" i="9"/>
  <c r="ES82" i="9"/>
  <c r="ER82" i="9"/>
  <c r="ES81" i="9"/>
  <c r="ER81" i="9"/>
  <c r="ES80" i="9"/>
  <c r="ER80" i="9"/>
  <c r="ES79" i="9"/>
  <c r="ER79" i="9"/>
  <c r="ES78" i="9"/>
  <c r="ER78" i="9"/>
  <c r="ES77" i="9"/>
  <c r="ER77" i="9"/>
  <c r="ES76" i="9"/>
  <c r="ER76" i="9"/>
  <c r="ES75" i="9"/>
  <c r="ER75" i="9"/>
  <c r="ES74" i="9"/>
  <c r="ER74" i="9"/>
  <c r="ES73" i="9"/>
  <c r="ER73" i="9"/>
  <c r="ES72" i="9"/>
  <c r="ER72" i="9"/>
  <c r="ES71" i="9"/>
  <c r="ER71" i="9"/>
  <c r="ES70" i="9"/>
  <c r="ER70" i="9"/>
  <c r="ES69" i="9"/>
  <c r="ER69" i="9"/>
  <c r="ES68" i="9"/>
  <c r="ER68" i="9"/>
  <c r="ES67" i="9"/>
  <c r="ER67" i="9"/>
  <c r="ES66" i="9"/>
  <c r="ER66" i="9"/>
  <c r="ES65" i="9"/>
  <c r="ER65" i="9"/>
  <c r="ES64" i="9"/>
  <c r="ER64" i="9"/>
  <c r="ES63" i="9"/>
  <c r="ER63" i="9"/>
  <c r="ES62" i="9"/>
  <c r="ER62" i="9"/>
  <c r="ES61" i="9"/>
  <c r="ER61" i="9"/>
  <c r="ES60" i="9"/>
  <c r="ER60" i="9"/>
  <c r="ES59" i="9"/>
  <c r="ER59" i="9"/>
  <c r="ES58" i="9"/>
  <c r="ER58" i="9"/>
  <c r="ES57" i="9"/>
  <c r="ER57" i="9"/>
  <c r="ES56" i="9"/>
  <c r="ER56" i="9"/>
  <c r="ES55" i="9"/>
  <c r="ER55" i="9"/>
  <c r="ES54" i="9"/>
  <c r="ER54" i="9"/>
  <c r="ES53" i="9"/>
  <c r="ER53" i="9"/>
  <c r="ES52" i="9"/>
  <c r="ER52" i="9"/>
  <c r="ES51" i="9"/>
  <c r="ER51" i="9"/>
  <c r="ES50" i="9"/>
  <c r="ER50" i="9"/>
  <c r="ES49" i="9"/>
  <c r="ER49" i="9"/>
  <c r="ES48" i="9"/>
  <c r="ER48" i="9"/>
  <c r="ES47" i="9"/>
  <c r="ER47" i="9"/>
  <c r="ES46" i="9"/>
  <c r="ER46" i="9"/>
  <c r="ES45" i="9"/>
  <c r="ER45" i="9"/>
  <c r="ES44" i="9"/>
  <c r="ER44" i="9"/>
  <c r="ES43" i="9"/>
  <c r="ER43" i="9"/>
  <c r="ES42" i="9"/>
  <c r="ER42" i="9"/>
  <c r="ES41" i="9"/>
  <c r="ER41" i="9"/>
  <c r="ES40" i="9"/>
  <c r="ER40" i="9"/>
  <c r="ES39" i="9"/>
  <c r="ER39" i="9"/>
  <c r="ES38" i="9"/>
  <c r="ER38" i="9"/>
  <c r="ES37" i="9"/>
  <c r="ER37" i="9"/>
  <c r="ES36" i="9"/>
  <c r="ER36" i="9"/>
  <c r="ES35" i="9"/>
  <c r="ER35" i="9"/>
  <c r="ES34" i="9"/>
  <c r="ER34" i="9"/>
  <c r="ES33" i="9"/>
  <c r="ER33" i="9"/>
  <c r="ES32" i="9"/>
  <c r="ER32" i="9"/>
  <c r="ES31" i="9"/>
  <c r="ER31" i="9"/>
  <c r="ES30" i="9"/>
  <c r="ER30" i="9"/>
  <c r="ES29" i="9"/>
  <c r="ER29" i="9"/>
  <c r="ES28" i="9"/>
  <c r="ER28" i="9"/>
  <c r="ES27" i="9"/>
  <c r="ER27" i="9"/>
  <c r="ES26" i="9"/>
  <c r="ER26" i="9"/>
  <c r="ES25" i="9"/>
  <c r="ER25" i="9"/>
  <c r="ES24" i="9"/>
  <c r="ER24" i="9"/>
  <c r="ES23" i="9"/>
  <c r="ER23" i="9"/>
  <c r="ES22" i="9"/>
  <c r="ER22" i="9"/>
  <c r="ES21" i="9"/>
  <c r="ER21" i="9"/>
  <c r="ES20" i="9"/>
  <c r="ER20" i="9"/>
  <c r="ES19" i="9"/>
  <c r="ER19" i="9"/>
  <c r="ES18" i="9"/>
  <c r="ER18" i="9"/>
  <c r="ES17" i="9"/>
  <c r="ER17" i="9"/>
  <c r="ES16" i="9"/>
  <c r="ER16" i="9"/>
  <c r="ES15" i="9"/>
  <c r="ER15" i="9"/>
  <c r="ES14" i="9"/>
  <c r="ER14" i="9"/>
  <c r="ES13" i="9"/>
  <c r="ER13" i="9"/>
  <c r="ES12" i="9"/>
  <c r="ER12" i="9"/>
  <c r="ES11" i="9"/>
  <c r="ER11" i="9"/>
  <c r="ES10" i="9"/>
  <c r="ER10" i="9"/>
  <c r="ES9" i="9"/>
  <c r="ER9" i="9"/>
  <c r="ES8" i="9"/>
  <c r="ER8" i="9"/>
  <c r="ES7" i="9"/>
  <c r="ER7" i="9"/>
  <c r="ES6" i="9"/>
  <c r="ER6" i="9"/>
  <c r="ES5" i="9"/>
  <c r="ER5" i="9"/>
  <c r="ES4" i="9"/>
  <c r="ER4" i="9"/>
  <c r="HE84" i="8"/>
  <c r="HE83" i="8"/>
  <c r="HE82" i="8"/>
  <c r="HE81" i="8"/>
  <c r="HE80" i="8"/>
  <c r="HE79" i="8"/>
  <c r="HE78" i="8"/>
  <c r="HE77" i="8"/>
  <c r="HE76" i="8"/>
  <c r="HE75" i="8"/>
  <c r="HE74" i="8"/>
  <c r="HE73" i="8"/>
  <c r="HE72" i="8"/>
  <c r="HE71" i="8"/>
  <c r="HE70" i="8"/>
  <c r="HE69" i="8"/>
  <c r="HE67" i="8"/>
  <c r="HE66" i="8"/>
  <c r="HE65" i="8"/>
  <c r="HE64" i="8"/>
  <c r="HE63" i="8"/>
  <c r="HE62" i="8"/>
  <c r="HE61" i="8"/>
  <c r="HE60" i="8"/>
  <c r="HE59" i="8"/>
  <c r="HE58" i="8"/>
  <c r="HE57" i="8"/>
  <c r="HE56" i="8"/>
  <c r="HE55" i="8"/>
  <c r="HE54" i="8"/>
  <c r="HE53" i="8"/>
  <c r="HE52" i="8"/>
  <c r="HE51" i="8"/>
  <c r="HE50" i="8"/>
  <c r="HE49" i="8"/>
  <c r="HE48" i="8"/>
  <c r="HE47" i="8"/>
  <c r="HE46" i="8"/>
  <c r="HE45" i="8"/>
  <c r="HE44" i="8"/>
  <c r="HE43" i="8"/>
  <c r="HE42" i="8"/>
  <c r="HE41" i="8"/>
  <c r="HE40" i="8"/>
  <c r="HE39" i="8"/>
  <c r="HE38" i="8"/>
  <c r="HE37" i="8"/>
  <c r="HE36" i="8"/>
  <c r="HE35" i="8"/>
  <c r="HE34" i="8"/>
  <c r="HE33" i="8"/>
  <c r="HE32" i="8"/>
  <c r="HE31" i="8"/>
  <c r="HE30" i="8"/>
  <c r="HE29" i="8"/>
  <c r="HE28" i="8"/>
  <c r="HE27" i="8"/>
  <c r="HE26" i="8"/>
  <c r="HE25" i="8"/>
  <c r="HE24" i="8"/>
  <c r="HE23" i="8"/>
  <c r="HE22" i="8"/>
  <c r="HE21" i="8"/>
  <c r="HE20" i="8"/>
  <c r="HE19" i="8"/>
  <c r="HE18" i="8"/>
  <c r="HE17" i="8"/>
  <c r="HE16" i="8"/>
  <c r="HE15" i="8"/>
  <c r="HE14" i="8"/>
  <c r="HE13" i="8"/>
  <c r="HE12" i="8"/>
  <c r="HE11" i="8"/>
  <c r="HE10" i="8"/>
  <c r="HE9" i="8"/>
  <c r="HE8" i="8"/>
  <c r="HE7" i="8"/>
  <c r="HE5" i="8"/>
  <c r="HE6" i="8"/>
  <c r="HF84" i="8"/>
  <c r="HG84" i="8"/>
  <c r="HH84" i="8" s="1"/>
  <c r="HF83" i="8"/>
  <c r="HG83" i="8"/>
  <c r="HH83" i="8" s="1"/>
  <c r="HF82" i="8"/>
  <c r="HG82" i="8"/>
  <c r="HH82" i="8" s="1"/>
  <c r="HF81" i="8"/>
  <c r="HG81" i="8"/>
  <c r="HH81" i="8" s="1"/>
  <c r="HF80" i="8"/>
  <c r="HG80" i="8"/>
  <c r="HH80" i="8" s="1"/>
  <c r="HF79" i="8"/>
  <c r="HG79" i="8"/>
  <c r="HH79" i="8" s="1"/>
  <c r="HF78" i="8"/>
  <c r="HG78" i="8"/>
  <c r="HH78" i="8" s="1"/>
  <c r="HF77" i="8"/>
  <c r="HG77" i="8"/>
  <c r="HH77" i="8" s="1"/>
  <c r="HF76" i="8"/>
  <c r="HG76" i="8"/>
  <c r="HH76" i="8" s="1"/>
  <c r="HF75" i="8"/>
  <c r="HG75" i="8"/>
  <c r="HH75" i="8" s="1"/>
  <c r="HF74" i="8"/>
  <c r="HG74" i="8"/>
  <c r="HH74" i="8" s="1"/>
  <c r="HF73" i="8"/>
  <c r="HG73" i="8"/>
  <c r="HH73" i="8" s="1"/>
  <c r="HF72" i="8"/>
  <c r="HG72" i="8"/>
  <c r="HH72" i="8" s="1"/>
  <c r="HF71" i="8"/>
  <c r="HG71" i="8"/>
  <c r="HH71" i="8" s="1"/>
  <c r="HF70" i="8"/>
  <c r="HG70" i="8"/>
  <c r="HH70" i="8" s="1"/>
  <c r="HF69" i="8"/>
  <c r="HG69" i="8"/>
  <c r="HH69" i="8" s="1"/>
  <c r="EO68" i="8"/>
  <c r="HE68" i="8"/>
  <c r="HF67" i="8"/>
  <c r="HG67" i="8"/>
  <c r="HH67" i="8" s="1"/>
  <c r="HF66" i="8"/>
  <c r="HG66" i="8"/>
  <c r="HH66" i="8" s="1"/>
  <c r="HF65" i="8"/>
  <c r="HG65" i="8"/>
  <c r="HH65" i="8" s="1"/>
  <c r="HF64" i="8"/>
  <c r="HG64" i="8"/>
  <c r="HH64" i="8" s="1"/>
  <c r="HF63" i="8"/>
  <c r="HG63" i="8"/>
  <c r="HH63" i="8" s="1"/>
  <c r="HF62" i="8"/>
  <c r="HG62" i="8"/>
  <c r="HH62" i="8" s="1"/>
  <c r="HF61" i="8"/>
  <c r="HG61" i="8"/>
  <c r="HH61" i="8" s="1"/>
  <c r="HF60" i="8"/>
  <c r="HG60" i="8"/>
  <c r="HH60" i="8" s="1"/>
  <c r="HF59" i="8"/>
  <c r="HG59" i="8"/>
  <c r="HH59" i="8" s="1"/>
  <c r="HF58" i="8"/>
  <c r="HG58" i="8"/>
  <c r="HH58" i="8" s="1"/>
  <c r="HF57" i="8"/>
  <c r="HG57" i="8"/>
  <c r="HH57" i="8" s="1"/>
  <c r="HF56" i="8"/>
  <c r="HG56" i="8"/>
  <c r="HH56" i="8" s="1"/>
  <c r="HF55" i="8"/>
  <c r="HG55" i="8"/>
  <c r="HH55" i="8" s="1"/>
  <c r="HF54" i="8"/>
  <c r="HG54" i="8"/>
  <c r="HH54" i="8" s="1"/>
  <c r="HF53" i="8"/>
  <c r="HG53" i="8"/>
  <c r="HH53" i="8" s="1"/>
  <c r="HF52" i="8"/>
  <c r="HG52" i="8"/>
  <c r="HH52" i="8" s="1"/>
  <c r="HF51" i="8"/>
  <c r="HG51" i="8"/>
  <c r="HH51" i="8" s="1"/>
  <c r="HF50" i="8"/>
  <c r="HG50" i="8"/>
  <c r="HH50" i="8" s="1"/>
  <c r="HF49" i="8"/>
  <c r="HG49" i="8"/>
  <c r="HH49" i="8" s="1"/>
  <c r="HF48" i="8"/>
  <c r="HG48" i="8"/>
  <c r="HH48" i="8" s="1"/>
  <c r="HF47" i="8"/>
  <c r="HG47" i="8"/>
  <c r="HH47" i="8" s="1"/>
  <c r="HF46" i="8"/>
  <c r="HG46" i="8"/>
  <c r="HH46" i="8" s="1"/>
  <c r="HF45" i="8"/>
  <c r="HG45" i="8"/>
  <c r="HH45" i="8" s="1"/>
  <c r="HF44" i="8"/>
  <c r="HG44" i="8"/>
  <c r="HH44" i="8" s="1"/>
  <c r="HF43" i="8"/>
  <c r="HG43" i="8"/>
  <c r="HH43" i="8" s="1"/>
  <c r="HF42" i="8"/>
  <c r="HG42" i="8"/>
  <c r="HH42" i="8" s="1"/>
  <c r="HF41" i="8"/>
  <c r="HG41" i="8"/>
  <c r="HH41" i="8" s="1"/>
  <c r="HF40" i="8"/>
  <c r="HG40" i="8"/>
  <c r="HH40" i="8" s="1"/>
  <c r="HF39" i="8"/>
  <c r="HG39" i="8"/>
  <c r="HH39" i="8" s="1"/>
  <c r="HF38" i="8"/>
  <c r="HG38" i="8"/>
  <c r="HH38" i="8" s="1"/>
  <c r="HF37" i="8"/>
  <c r="HG37" i="8"/>
  <c r="HH37" i="8" s="1"/>
  <c r="HF36" i="8"/>
  <c r="HG36" i="8"/>
  <c r="HH36" i="8" s="1"/>
  <c r="HF35" i="8"/>
  <c r="HG35" i="8"/>
  <c r="HH35" i="8" s="1"/>
  <c r="HF34" i="8"/>
  <c r="HG34" i="8"/>
  <c r="HH34" i="8" s="1"/>
  <c r="HF33" i="8"/>
  <c r="HG33" i="8"/>
  <c r="HH33" i="8" s="1"/>
  <c r="HF32" i="8"/>
  <c r="HG32" i="8"/>
  <c r="HH32" i="8" s="1"/>
  <c r="HF31" i="8"/>
  <c r="HG31" i="8"/>
  <c r="HH31" i="8" s="1"/>
  <c r="HF30" i="8"/>
  <c r="HG30" i="8"/>
  <c r="HH30" i="8" s="1"/>
  <c r="HF29" i="8"/>
  <c r="HG29" i="8"/>
  <c r="HH29" i="8" s="1"/>
  <c r="HF28" i="8"/>
  <c r="HG28" i="8"/>
  <c r="HH28" i="8" s="1"/>
  <c r="HF27" i="8"/>
  <c r="HG27" i="8"/>
  <c r="HH27" i="8" s="1"/>
  <c r="HF26" i="8"/>
  <c r="HG26" i="8"/>
  <c r="HH26" i="8" s="1"/>
  <c r="HF25" i="8"/>
  <c r="HG25" i="8"/>
  <c r="HH25" i="8" s="1"/>
  <c r="HF24" i="8"/>
  <c r="HG24" i="8"/>
  <c r="HH24" i="8" s="1"/>
  <c r="HF23" i="8"/>
  <c r="HG23" i="8"/>
  <c r="HH23" i="8" s="1"/>
  <c r="HF22" i="8"/>
  <c r="HG22" i="8"/>
  <c r="HH22" i="8" s="1"/>
  <c r="HF21" i="8"/>
  <c r="HG21" i="8"/>
  <c r="HH21" i="8" s="1"/>
  <c r="HF20" i="8"/>
  <c r="HG20" i="8"/>
  <c r="HH20" i="8" s="1"/>
  <c r="HF19" i="8"/>
  <c r="HG19" i="8"/>
  <c r="HH19" i="8" s="1"/>
  <c r="HF18" i="8"/>
  <c r="HG18" i="8"/>
  <c r="HH18" i="8" s="1"/>
  <c r="HF17" i="8"/>
  <c r="HG17" i="8"/>
  <c r="HH17" i="8" s="1"/>
  <c r="HF16" i="8"/>
  <c r="HG16" i="8"/>
  <c r="HH16" i="8" s="1"/>
  <c r="HF15" i="8"/>
  <c r="HG15" i="8"/>
  <c r="HH15" i="8" s="1"/>
  <c r="HF14" i="8"/>
  <c r="HG14" i="8"/>
  <c r="HH14" i="8" s="1"/>
  <c r="HF13" i="8"/>
  <c r="HG13" i="8"/>
  <c r="HH13" i="8" s="1"/>
  <c r="HF12" i="8"/>
  <c r="HG12" i="8"/>
  <c r="HH12" i="8" s="1"/>
  <c r="HF11" i="8"/>
  <c r="HG11" i="8"/>
  <c r="HH11" i="8" s="1"/>
  <c r="HF10" i="8"/>
  <c r="HG10" i="8"/>
  <c r="HH10" i="8" s="1"/>
  <c r="HF9" i="8"/>
  <c r="HG9" i="8"/>
  <c r="HH9" i="8" s="1"/>
  <c r="HF8" i="8"/>
  <c r="HG8" i="8"/>
  <c r="HH8" i="8" s="1"/>
  <c r="HF7" i="8"/>
  <c r="HG7" i="8"/>
  <c r="HH7" i="8" s="1"/>
  <c r="HF5" i="8"/>
  <c r="HG5" i="8"/>
  <c r="HH5" i="8" s="1"/>
  <c r="HF6" i="8"/>
  <c r="HG6" i="8"/>
  <c r="HH6" i="8" s="1"/>
  <c r="GR84" i="9"/>
  <c r="GQ84" i="9"/>
  <c r="GR83" i="9"/>
  <c r="GQ83" i="9"/>
  <c r="GR82" i="9"/>
  <c r="GQ82" i="9"/>
  <c r="GR81" i="9"/>
  <c r="GQ81" i="9"/>
  <c r="GR80" i="9"/>
  <c r="GQ80" i="9"/>
  <c r="GR79" i="9"/>
  <c r="GQ79" i="9"/>
  <c r="GR78" i="9"/>
  <c r="GQ78" i="9"/>
  <c r="GR77" i="9"/>
  <c r="GQ77" i="9"/>
  <c r="GR76" i="9"/>
  <c r="GQ76" i="9"/>
  <c r="GR75" i="9"/>
  <c r="GQ75" i="9"/>
  <c r="GR74" i="9"/>
  <c r="GQ74" i="9"/>
  <c r="GR73" i="9"/>
  <c r="GQ73" i="9"/>
  <c r="GR72" i="9"/>
  <c r="GQ72" i="9"/>
  <c r="GR71" i="9"/>
  <c r="GQ71" i="9"/>
  <c r="GR70" i="9"/>
  <c r="GQ70" i="9"/>
  <c r="GR69" i="9"/>
  <c r="GQ69" i="9"/>
  <c r="GR68" i="9"/>
  <c r="GQ68" i="9"/>
  <c r="GR67" i="9"/>
  <c r="GQ67" i="9"/>
  <c r="GR66" i="9"/>
  <c r="GQ66" i="9"/>
  <c r="GR65" i="9"/>
  <c r="GQ65" i="9"/>
  <c r="GR64" i="9"/>
  <c r="GQ64" i="9"/>
  <c r="GR63" i="9"/>
  <c r="GQ63" i="9"/>
  <c r="GR62" i="9"/>
  <c r="GQ62" i="9"/>
  <c r="GR61" i="9"/>
  <c r="GQ61" i="9"/>
  <c r="GR60" i="9"/>
  <c r="GQ60" i="9"/>
  <c r="GR59" i="9"/>
  <c r="GQ59" i="9"/>
  <c r="GR58" i="9"/>
  <c r="GQ58" i="9"/>
  <c r="GR57" i="9"/>
  <c r="GQ57" i="9"/>
  <c r="GR56" i="9"/>
  <c r="GQ56" i="9"/>
  <c r="GR55" i="9"/>
  <c r="GQ55" i="9"/>
  <c r="GR54" i="9"/>
  <c r="GQ54" i="9"/>
  <c r="GR53" i="9"/>
  <c r="GQ53" i="9"/>
  <c r="GR52" i="9"/>
  <c r="GQ52" i="9"/>
  <c r="GR51" i="9"/>
  <c r="GQ51" i="9"/>
  <c r="GR50" i="9"/>
  <c r="GQ50" i="9"/>
  <c r="GR49" i="9"/>
  <c r="GQ49" i="9"/>
  <c r="GR48" i="9"/>
  <c r="GQ48" i="9"/>
  <c r="GR47" i="9"/>
  <c r="GQ47" i="9"/>
  <c r="GR46" i="9"/>
  <c r="GQ46" i="9"/>
  <c r="GR45" i="9"/>
  <c r="GQ45" i="9"/>
  <c r="GR44" i="9"/>
  <c r="GQ44" i="9"/>
  <c r="GR43" i="9"/>
  <c r="GQ43" i="9"/>
  <c r="GR42" i="9"/>
  <c r="GQ42" i="9"/>
  <c r="GR41" i="9"/>
  <c r="GQ41" i="9"/>
  <c r="GR40" i="9"/>
  <c r="GQ40" i="9"/>
  <c r="GR39" i="9"/>
  <c r="GQ39" i="9"/>
  <c r="GR38" i="9"/>
  <c r="GQ38" i="9"/>
  <c r="GR37" i="9"/>
  <c r="GQ37" i="9"/>
  <c r="GR36" i="9"/>
  <c r="GQ36" i="9"/>
  <c r="GR35" i="9"/>
  <c r="GQ35" i="9"/>
  <c r="GR34" i="9"/>
  <c r="GQ34" i="9"/>
  <c r="GR33" i="9"/>
  <c r="GQ33" i="9"/>
  <c r="GR32" i="9"/>
  <c r="GQ32" i="9"/>
  <c r="GR31" i="9"/>
  <c r="GQ31" i="9"/>
  <c r="GR30" i="9"/>
  <c r="GQ30" i="9"/>
  <c r="GR29" i="9"/>
  <c r="GQ29" i="9"/>
  <c r="GR28" i="9"/>
  <c r="GQ28" i="9"/>
  <c r="GR27" i="9"/>
  <c r="GQ27" i="9"/>
  <c r="GR26" i="9"/>
  <c r="GQ26" i="9"/>
  <c r="GR25" i="9"/>
  <c r="GQ25" i="9"/>
  <c r="GR24" i="9"/>
  <c r="GQ24" i="9"/>
  <c r="GR23" i="9"/>
  <c r="GQ23" i="9"/>
  <c r="GR22" i="9"/>
  <c r="GQ22" i="9"/>
  <c r="GR21" i="9"/>
  <c r="GQ21" i="9"/>
  <c r="GR20" i="9"/>
  <c r="GQ20" i="9"/>
  <c r="GR19" i="9"/>
  <c r="GQ19" i="9"/>
  <c r="GR18" i="9"/>
  <c r="GQ18" i="9"/>
  <c r="GR17" i="9"/>
  <c r="GQ17" i="9"/>
  <c r="GR16" i="9"/>
  <c r="GQ16" i="9"/>
  <c r="GR15" i="9"/>
  <c r="GQ15" i="9"/>
  <c r="GR14" i="9"/>
  <c r="GQ14" i="9"/>
  <c r="GR13" i="9"/>
  <c r="GQ13" i="9"/>
  <c r="GR12" i="9"/>
  <c r="GQ12" i="9"/>
  <c r="GR11" i="9"/>
  <c r="GQ11" i="9"/>
  <c r="GR10" i="9"/>
  <c r="GQ10" i="9"/>
  <c r="GR9" i="9"/>
  <c r="GQ9" i="9"/>
  <c r="GR8" i="9"/>
  <c r="GQ8" i="9"/>
  <c r="GR7" i="9"/>
  <c r="GQ7" i="9"/>
  <c r="GR6" i="9"/>
  <c r="GQ6" i="9"/>
  <c r="GR5" i="9"/>
  <c r="GQ5" i="9"/>
  <c r="GR4" i="9"/>
  <c r="GQ4" i="9"/>
  <c r="GZ84" i="8"/>
  <c r="GU84" i="8"/>
  <c r="GP84" i="8"/>
  <c r="GH84" i="8"/>
  <c r="GI84" i="8"/>
  <c r="GZ83" i="8"/>
  <c r="GU83" i="8"/>
  <c r="GP83" i="8"/>
  <c r="GH83" i="8"/>
  <c r="GI83" i="8"/>
  <c r="GZ82" i="8"/>
  <c r="GU82" i="8"/>
  <c r="GP82" i="8"/>
  <c r="GH82" i="8"/>
  <c r="GI82" i="8"/>
  <c r="GZ81" i="8"/>
  <c r="GU81" i="8"/>
  <c r="GP81" i="8"/>
  <c r="GH81" i="8"/>
  <c r="GI81" i="8"/>
  <c r="GZ80" i="8"/>
  <c r="GU80" i="8"/>
  <c r="GP80" i="8"/>
  <c r="GH80" i="8"/>
  <c r="GI80" i="8"/>
  <c r="GZ79" i="8"/>
  <c r="GU79" i="8"/>
  <c r="GP79" i="8"/>
  <c r="GH79" i="8"/>
  <c r="GI79" i="8"/>
  <c r="GZ78" i="8"/>
  <c r="GU78" i="8"/>
  <c r="GP78" i="8"/>
  <c r="GH78" i="8"/>
  <c r="GI78" i="8"/>
  <c r="GZ77" i="8"/>
  <c r="GU77" i="8"/>
  <c r="GP77" i="8"/>
  <c r="GH77" i="8"/>
  <c r="GI77" i="8"/>
  <c r="GZ76" i="8"/>
  <c r="GU76" i="8"/>
  <c r="GP76" i="8"/>
  <c r="GH76" i="8"/>
  <c r="GI76" i="8"/>
  <c r="GZ75" i="8"/>
  <c r="GU75" i="8"/>
  <c r="GP75" i="8"/>
  <c r="GH75" i="8"/>
  <c r="GI75" i="8"/>
  <c r="GZ74" i="8"/>
  <c r="GU74" i="8"/>
  <c r="GP74" i="8"/>
  <c r="GH74" i="8"/>
  <c r="GI74" i="8"/>
  <c r="GZ73" i="8"/>
  <c r="GU73" i="8"/>
  <c r="GP73" i="8"/>
  <c r="GH73" i="8"/>
  <c r="GI73" i="8"/>
  <c r="GZ72" i="8"/>
  <c r="GU72" i="8"/>
  <c r="GP72" i="8"/>
  <c r="GH72" i="8"/>
  <c r="GI72" i="8"/>
  <c r="GZ71" i="8"/>
  <c r="GU71" i="8"/>
  <c r="GP71" i="8"/>
  <c r="GH71" i="8"/>
  <c r="GI71" i="8"/>
  <c r="GZ70" i="8"/>
  <c r="GU70" i="8"/>
  <c r="GP70" i="8"/>
  <c r="GH70" i="8"/>
  <c r="GI70" i="8"/>
  <c r="GZ69" i="8"/>
  <c r="GU69" i="8"/>
  <c r="GP69" i="8"/>
  <c r="GH69" i="8"/>
  <c r="GI69" i="8"/>
  <c r="GZ68" i="8"/>
  <c r="GU68" i="8"/>
  <c r="GP68" i="8"/>
  <c r="GH68" i="8"/>
  <c r="GI68" i="8"/>
  <c r="GZ67" i="8"/>
  <c r="GU67" i="8"/>
  <c r="GP67" i="8"/>
  <c r="GH67" i="8"/>
  <c r="GI67" i="8"/>
  <c r="GZ66" i="8"/>
  <c r="GU66" i="8"/>
  <c r="GP66" i="8"/>
  <c r="GH66" i="8"/>
  <c r="GI66" i="8"/>
  <c r="GZ65" i="8"/>
  <c r="GU65" i="8"/>
  <c r="GP65" i="8"/>
  <c r="GH65" i="8"/>
  <c r="GI65" i="8"/>
  <c r="GZ64" i="8"/>
  <c r="GU64" i="8"/>
  <c r="GP64" i="8"/>
  <c r="GH64" i="8"/>
  <c r="GI64" i="8"/>
  <c r="GZ63" i="8"/>
  <c r="GU63" i="8"/>
  <c r="GP63" i="8"/>
  <c r="GH63" i="8"/>
  <c r="GI63" i="8"/>
  <c r="GZ62" i="8"/>
  <c r="GU62" i="8"/>
  <c r="GP62" i="8"/>
  <c r="GH62" i="8"/>
  <c r="GI62" i="8"/>
  <c r="GZ61" i="8"/>
  <c r="GU61" i="8"/>
  <c r="GP61" i="8"/>
  <c r="GH61" i="8"/>
  <c r="GI61" i="8"/>
  <c r="GZ60" i="8"/>
  <c r="GU60" i="8"/>
  <c r="GP60" i="8"/>
  <c r="GH60" i="8"/>
  <c r="GI60" i="8"/>
  <c r="GZ59" i="8"/>
  <c r="GU59" i="8"/>
  <c r="GP59" i="8"/>
  <c r="GH59" i="8"/>
  <c r="GI59" i="8"/>
  <c r="GZ58" i="8"/>
  <c r="GU58" i="8"/>
  <c r="GP58" i="8"/>
  <c r="GH58" i="8"/>
  <c r="GI58" i="8"/>
  <c r="GZ57" i="8"/>
  <c r="GU57" i="8"/>
  <c r="GP57" i="8"/>
  <c r="GH57" i="8"/>
  <c r="GI57" i="8"/>
  <c r="GZ56" i="8"/>
  <c r="GU56" i="8"/>
  <c r="GP56" i="8"/>
  <c r="GH56" i="8"/>
  <c r="GI56" i="8"/>
  <c r="GZ55" i="8"/>
  <c r="GU55" i="8"/>
  <c r="GP55" i="8"/>
  <c r="GH55" i="8"/>
  <c r="GI55" i="8"/>
  <c r="GZ54" i="8"/>
  <c r="GU54" i="8"/>
  <c r="GP54" i="8"/>
  <c r="GH54" i="8"/>
  <c r="GI54" i="8"/>
  <c r="GZ53" i="8"/>
  <c r="GU53" i="8"/>
  <c r="GP53" i="8"/>
  <c r="GH53" i="8"/>
  <c r="GI53" i="8"/>
  <c r="GZ52" i="8"/>
  <c r="GU52" i="8"/>
  <c r="GP52" i="8"/>
  <c r="GH52" i="8"/>
  <c r="GI52" i="8"/>
  <c r="GZ51" i="8"/>
  <c r="GU51" i="8"/>
  <c r="GP51" i="8"/>
  <c r="GH51" i="8"/>
  <c r="GI51" i="8"/>
  <c r="GZ50" i="8"/>
  <c r="GU50" i="8"/>
  <c r="GP50" i="8"/>
  <c r="GH50" i="8"/>
  <c r="GI50" i="8"/>
  <c r="GZ49" i="8"/>
  <c r="GU49" i="8"/>
  <c r="GP49" i="8"/>
  <c r="GH49" i="8"/>
  <c r="GI49" i="8"/>
  <c r="GZ48" i="8"/>
  <c r="GU48" i="8"/>
  <c r="GP48" i="8"/>
  <c r="GH48" i="8"/>
  <c r="GI48" i="8"/>
  <c r="GZ47" i="8"/>
  <c r="GU47" i="8"/>
  <c r="GP47" i="8"/>
  <c r="GH47" i="8"/>
  <c r="GI47" i="8"/>
  <c r="GZ46" i="8"/>
  <c r="GU46" i="8"/>
  <c r="GP46" i="8"/>
  <c r="GH46" i="8"/>
  <c r="GI46" i="8"/>
  <c r="GZ45" i="8"/>
  <c r="GU45" i="8"/>
  <c r="GP45" i="8"/>
  <c r="GH45" i="8"/>
  <c r="GI45" i="8"/>
  <c r="GZ44" i="8"/>
  <c r="GU44" i="8"/>
  <c r="GP44" i="8"/>
  <c r="GH44" i="8"/>
  <c r="GI44" i="8"/>
  <c r="GZ43" i="8"/>
  <c r="GU43" i="8"/>
  <c r="GP43" i="8"/>
  <c r="GH43" i="8"/>
  <c r="GI43" i="8"/>
  <c r="GZ42" i="8"/>
  <c r="GU42" i="8"/>
  <c r="GP42" i="8"/>
  <c r="GH42" i="8"/>
  <c r="GI42" i="8"/>
  <c r="GZ41" i="8"/>
  <c r="GU41" i="8"/>
  <c r="GP41" i="8"/>
  <c r="GH41" i="8"/>
  <c r="GI41" i="8"/>
  <c r="GZ40" i="8"/>
  <c r="GU40" i="8"/>
  <c r="GP40" i="8"/>
  <c r="GH40" i="8"/>
  <c r="GI40" i="8"/>
  <c r="GZ39" i="8"/>
  <c r="GU39" i="8"/>
  <c r="GP39" i="8"/>
  <c r="GH39" i="8"/>
  <c r="GI39" i="8"/>
  <c r="GZ38" i="8"/>
  <c r="GU38" i="8"/>
  <c r="GP38" i="8"/>
  <c r="GH38" i="8"/>
  <c r="GI38" i="8"/>
  <c r="GZ37" i="8"/>
  <c r="GU37" i="8"/>
  <c r="GP37" i="8"/>
  <c r="GH37" i="8"/>
  <c r="GI37" i="8"/>
  <c r="GZ36" i="8"/>
  <c r="GU36" i="8"/>
  <c r="GP36" i="8"/>
  <c r="GH36" i="8"/>
  <c r="GI36" i="8"/>
  <c r="GZ35" i="8"/>
  <c r="GU35" i="8"/>
  <c r="GP35" i="8"/>
  <c r="GH35" i="8"/>
  <c r="GI35" i="8"/>
  <c r="GZ34" i="8"/>
  <c r="GU34" i="8"/>
  <c r="GP34" i="8"/>
  <c r="GH34" i="8"/>
  <c r="GI34" i="8"/>
  <c r="GZ33" i="8"/>
  <c r="GU33" i="8"/>
  <c r="GP33" i="8"/>
  <c r="GH33" i="8"/>
  <c r="GI33" i="8"/>
  <c r="GZ32" i="8"/>
  <c r="GU32" i="8"/>
  <c r="GP32" i="8"/>
  <c r="GH32" i="8"/>
  <c r="GI32" i="8"/>
  <c r="GZ31" i="8"/>
  <c r="GU31" i="8"/>
  <c r="GP31" i="8"/>
  <c r="GH31" i="8"/>
  <c r="GI31" i="8"/>
  <c r="GZ30" i="8"/>
  <c r="GU30" i="8"/>
  <c r="GP30" i="8"/>
  <c r="GH30" i="8"/>
  <c r="GI30" i="8"/>
  <c r="GZ29" i="8"/>
  <c r="GU29" i="8"/>
  <c r="GP29" i="8"/>
  <c r="GH29" i="8"/>
  <c r="GI29" i="8"/>
  <c r="GZ28" i="8"/>
  <c r="GU28" i="8"/>
  <c r="GP28" i="8"/>
  <c r="GH28" i="8"/>
  <c r="GI28" i="8"/>
  <c r="GZ27" i="8"/>
  <c r="GU27" i="8"/>
  <c r="GP27" i="8"/>
  <c r="GH27" i="8"/>
  <c r="GI27" i="8"/>
  <c r="GZ26" i="8"/>
  <c r="GU26" i="8"/>
  <c r="GP26" i="8"/>
  <c r="GH26" i="8"/>
  <c r="GI26" i="8"/>
  <c r="GZ25" i="8"/>
  <c r="GU25" i="8"/>
  <c r="GP25" i="8"/>
  <c r="GH25" i="8"/>
  <c r="GI25" i="8"/>
  <c r="GZ24" i="8"/>
  <c r="GU24" i="8"/>
  <c r="GP24" i="8"/>
  <c r="GH24" i="8"/>
  <c r="GI24" i="8"/>
  <c r="GZ23" i="8"/>
  <c r="GU23" i="8"/>
  <c r="GP23" i="8"/>
  <c r="GH23" i="8"/>
  <c r="GI23" i="8"/>
  <c r="GZ22" i="8"/>
  <c r="GU22" i="8"/>
  <c r="GP22" i="8"/>
  <c r="GH22" i="8"/>
  <c r="GI22" i="8"/>
  <c r="GZ21" i="8"/>
  <c r="GU21" i="8"/>
  <c r="GP21" i="8"/>
  <c r="GH21" i="8"/>
  <c r="GI21" i="8"/>
  <c r="GZ20" i="8"/>
  <c r="GU20" i="8"/>
  <c r="GP20" i="8"/>
  <c r="GH20" i="8"/>
  <c r="GI20" i="8"/>
  <c r="GZ19" i="8"/>
  <c r="GU19" i="8"/>
  <c r="GP19" i="8"/>
  <c r="GH19" i="8"/>
  <c r="GI19" i="8"/>
  <c r="GZ18" i="8"/>
  <c r="GU18" i="8"/>
  <c r="GP18" i="8"/>
  <c r="GH18" i="8"/>
  <c r="GI18" i="8"/>
  <c r="GZ17" i="8"/>
  <c r="GU17" i="8"/>
  <c r="GP17" i="8"/>
  <c r="GH17" i="8"/>
  <c r="GI17" i="8"/>
  <c r="GZ16" i="8"/>
  <c r="GU16" i="8"/>
  <c r="GP16" i="8"/>
  <c r="GH16" i="8"/>
  <c r="GI16" i="8"/>
  <c r="GZ15" i="8"/>
  <c r="GU15" i="8"/>
  <c r="GP15" i="8"/>
  <c r="GH15" i="8"/>
  <c r="GI15" i="8"/>
  <c r="GZ14" i="8"/>
  <c r="GU14" i="8"/>
  <c r="GP14" i="8"/>
  <c r="GH14" i="8"/>
  <c r="GI14" i="8"/>
  <c r="GZ13" i="8"/>
  <c r="GU13" i="8"/>
  <c r="GP13" i="8"/>
  <c r="GH13" i="8"/>
  <c r="GI13" i="8"/>
  <c r="GZ12" i="8"/>
  <c r="GU12" i="8"/>
  <c r="GP12" i="8"/>
  <c r="GH12" i="8"/>
  <c r="GI12" i="8"/>
  <c r="GZ11" i="8"/>
  <c r="GU11" i="8"/>
  <c r="GP11" i="8"/>
  <c r="GH11" i="8"/>
  <c r="GI11" i="8"/>
  <c r="GZ10" i="8"/>
  <c r="GU10" i="8"/>
  <c r="GP10" i="8"/>
  <c r="GH10" i="8"/>
  <c r="GI10" i="8"/>
  <c r="GZ9" i="8"/>
  <c r="GU9" i="8"/>
  <c r="GP9" i="8"/>
  <c r="GH9" i="8"/>
  <c r="GI9" i="8"/>
  <c r="GZ8" i="8"/>
  <c r="GU8" i="8"/>
  <c r="GP8" i="8"/>
  <c r="GH8" i="8"/>
  <c r="GI8" i="8"/>
  <c r="GZ7" i="8"/>
  <c r="GU7" i="8"/>
  <c r="GP7" i="8"/>
  <c r="GH7" i="8"/>
  <c r="GI7" i="8"/>
  <c r="GZ5" i="8"/>
  <c r="GU5" i="8"/>
  <c r="GP5" i="8"/>
  <c r="GH5" i="8"/>
  <c r="GI5" i="8"/>
  <c r="HE4" i="8"/>
  <c r="GZ4" i="8"/>
  <c r="HA4" i="8" s="1"/>
  <c r="GU4" i="8"/>
  <c r="GV4" i="8" s="1"/>
  <c r="GP4" i="8"/>
  <c r="GI4" i="8"/>
  <c r="GH4" i="8"/>
  <c r="GZ6" i="8"/>
  <c r="GU6" i="8"/>
  <c r="GP6" i="8"/>
  <c r="GH6" i="8"/>
  <c r="GI6" i="8"/>
  <c r="HI84" i="9"/>
  <c r="HI83" i="9"/>
  <c r="HI82" i="9"/>
  <c r="HI81" i="9"/>
  <c r="HI80" i="9"/>
  <c r="HI79" i="9"/>
  <c r="HI78" i="9"/>
  <c r="HI77" i="9"/>
  <c r="HI76" i="9"/>
  <c r="HI75" i="9"/>
  <c r="HI74" i="9"/>
  <c r="HI73" i="9"/>
  <c r="HI72" i="9"/>
  <c r="HI71" i="9"/>
  <c r="HI70" i="9"/>
  <c r="HI69" i="9"/>
  <c r="HI68" i="9"/>
  <c r="HI67" i="9"/>
  <c r="HI66" i="9"/>
  <c r="HI65" i="9"/>
  <c r="HI64" i="9"/>
  <c r="HI63" i="9"/>
  <c r="HI62" i="9"/>
  <c r="HI61" i="9"/>
  <c r="HI60" i="9"/>
  <c r="HI59" i="9"/>
  <c r="HI58" i="9"/>
  <c r="HI57" i="9"/>
  <c r="HI56" i="9"/>
  <c r="HI55" i="9"/>
  <c r="HI54" i="9"/>
  <c r="HI53" i="9"/>
  <c r="HI52" i="9"/>
  <c r="HI51" i="9"/>
  <c r="HI50" i="9"/>
  <c r="HI49" i="9"/>
  <c r="HI48" i="9"/>
  <c r="HI47" i="9"/>
  <c r="HI46" i="9"/>
  <c r="HI45" i="9"/>
  <c r="HI44" i="9"/>
  <c r="HI43" i="9"/>
  <c r="HI42" i="9"/>
  <c r="HI41" i="9"/>
  <c r="HI40" i="9"/>
  <c r="HI39" i="9"/>
  <c r="HI38" i="9"/>
  <c r="HI37" i="9"/>
  <c r="HI36" i="9"/>
  <c r="HI35" i="9"/>
  <c r="HI34" i="9"/>
  <c r="HI33" i="9"/>
  <c r="HI32" i="9"/>
  <c r="HI31" i="9"/>
  <c r="HI30" i="9"/>
  <c r="HI29" i="9"/>
  <c r="HI28" i="9"/>
  <c r="HI27" i="9"/>
  <c r="HI26" i="9"/>
  <c r="HI25" i="9"/>
  <c r="HI24" i="9"/>
  <c r="HI23" i="9"/>
  <c r="HI22" i="9"/>
  <c r="HI21" i="9"/>
  <c r="HI20" i="9"/>
  <c r="HI19" i="9"/>
  <c r="HI18" i="9"/>
  <c r="HI17" i="9"/>
  <c r="HI16" i="9"/>
  <c r="HI15" i="9"/>
  <c r="HI14" i="9"/>
  <c r="HI13" i="9"/>
  <c r="HI12" i="9"/>
  <c r="HI11" i="9"/>
  <c r="HI10" i="9"/>
  <c r="HI9" i="9"/>
  <c r="HI8" i="9"/>
  <c r="HI7" i="9"/>
  <c r="HI6" i="9"/>
  <c r="HI5" i="9"/>
  <c r="HI4" i="9"/>
  <c r="HC84" i="9"/>
  <c r="HC83" i="9"/>
  <c r="HC82" i="9"/>
  <c r="HC81" i="9"/>
  <c r="HC80" i="9"/>
  <c r="HC79" i="9"/>
  <c r="HC78" i="9"/>
  <c r="HC77" i="9"/>
  <c r="HC76" i="9"/>
  <c r="HC75" i="9"/>
  <c r="HC74" i="9"/>
  <c r="HC73" i="9"/>
  <c r="HC72" i="9"/>
  <c r="HC71" i="9"/>
  <c r="HC70" i="9"/>
  <c r="HC69" i="9"/>
  <c r="HC68" i="9"/>
  <c r="HC67" i="9"/>
  <c r="HC66" i="9"/>
  <c r="HC65" i="9"/>
  <c r="HC64" i="9"/>
  <c r="HC63" i="9"/>
  <c r="HC62" i="9"/>
  <c r="HC61" i="9"/>
  <c r="HC60" i="9"/>
  <c r="HC59" i="9"/>
  <c r="HC58" i="9"/>
  <c r="HC57" i="9"/>
  <c r="HC56" i="9"/>
  <c r="HC55" i="9"/>
  <c r="HC54" i="9"/>
  <c r="HC53" i="9"/>
  <c r="HC52" i="9"/>
  <c r="HC51" i="9"/>
  <c r="HC50" i="9"/>
  <c r="HC49" i="9"/>
  <c r="HC48" i="9"/>
  <c r="HC47" i="9"/>
  <c r="HC46" i="9"/>
  <c r="HC45" i="9"/>
  <c r="HC44" i="9"/>
  <c r="HC43" i="9"/>
  <c r="HC42" i="9"/>
  <c r="HC41" i="9"/>
  <c r="HC40" i="9"/>
  <c r="HC39" i="9"/>
  <c r="HC38" i="9"/>
  <c r="HC37" i="9"/>
  <c r="HC36" i="9"/>
  <c r="HC35" i="9"/>
  <c r="HC34" i="9"/>
  <c r="HC33" i="9"/>
  <c r="HC32" i="9"/>
  <c r="HC31" i="9"/>
  <c r="HC30" i="9"/>
  <c r="HC29" i="9"/>
  <c r="HC28" i="9"/>
  <c r="HC27" i="9"/>
  <c r="HC26" i="9"/>
  <c r="HC25" i="9"/>
  <c r="HC24" i="9"/>
  <c r="HC23" i="9"/>
  <c r="HC22" i="9"/>
  <c r="HC21" i="9"/>
  <c r="HC20" i="9"/>
  <c r="HC19" i="9"/>
  <c r="HC18" i="9"/>
  <c r="HC17" i="9"/>
  <c r="HC16" i="9"/>
  <c r="HC15" i="9"/>
  <c r="HC14" i="9"/>
  <c r="HC13" i="9"/>
  <c r="HC12" i="9"/>
  <c r="HC11" i="9"/>
  <c r="HC10" i="9"/>
  <c r="HC9" i="9"/>
  <c r="HC8" i="9"/>
  <c r="HC7" i="9"/>
  <c r="HC6" i="9"/>
  <c r="HC5" i="9"/>
  <c r="HC4" i="9"/>
  <c r="GX84" i="9"/>
  <c r="GX83" i="9"/>
  <c r="GX82" i="9"/>
  <c r="GX81" i="9"/>
  <c r="GX80" i="9"/>
  <c r="GX79" i="9"/>
  <c r="GX78" i="9"/>
  <c r="GX77" i="9"/>
  <c r="GX76" i="9"/>
  <c r="GX75" i="9"/>
  <c r="GX74" i="9"/>
  <c r="GX73" i="9"/>
  <c r="GX72" i="9"/>
  <c r="GX71" i="9"/>
  <c r="GX70" i="9"/>
  <c r="GX69" i="9"/>
  <c r="GX68" i="9"/>
  <c r="GX67" i="9"/>
  <c r="GX66" i="9"/>
  <c r="GX65" i="9"/>
  <c r="GX64" i="9"/>
  <c r="GX63" i="9"/>
  <c r="GX62" i="9"/>
  <c r="GX61" i="9"/>
  <c r="GX60" i="9"/>
  <c r="GX59" i="9"/>
  <c r="GX58" i="9"/>
  <c r="GX57" i="9"/>
  <c r="GX56" i="9"/>
  <c r="GX55" i="9"/>
  <c r="GX54" i="9"/>
  <c r="GX53" i="9"/>
  <c r="GX52" i="9"/>
  <c r="GX51" i="9"/>
  <c r="GX50" i="9"/>
  <c r="GX49" i="9"/>
  <c r="GX48" i="9"/>
  <c r="GX47" i="9"/>
  <c r="GX46" i="9"/>
  <c r="GX45" i="9"/>
  <c r="GX44" i="9"/>
  <c r="GX43" i="9"/>
  <c r="GX42" i="9"/>
  <c r="GX41" i="9"/>
  <c r="GX40" i="9"/>
  <c r="GX39" i="9"/>
  <c r="GX38" i="9"/>
  <c r="GX37" i="9"/>
  <c r="GX36" i="9"/>
  <c r="GX35" i="9"/>
  <c r="GX34" i="9"/>
  <c r="GX33" i="9"/>
  <c r="GX32" i="9"/>
  <c r="GX31" i="9"/>
  <c r="GX30" i="9"/>
  <c r="GX29" i="9"/>
  <c r="GX28" i="9"/>
  <c r="GX27" i="9"/>
  <c r="GX26" i="9"/>
  <c r="GX25" i="9"/>
  <c r="GX24" i="9"/>
  <c r="GX23" i="9"/>
  <c r="GX22" i="9"/>
  <c r="GX21" i="9"/>
  <c r="GX20" i="9"/>
  <c r="GX19" i="9"/>
  <c r="GX18" i="9"/>
  <c r="GX17" i="9"/>
  <c r="GX16" i="9"/>
  <c r="GX15" i="9"/>
  <c r="GX14" i="9"/>
  <c r="GX13" i="9"/>
  <c r="GX12" i="9"/>
  <c r="GX11" i="9"/>
  <c r="GX10" i="9"/>
  <c r="GX9" i="9"/>
  <c r="GX8" i="9"/>
  <c r="GX7" i="9"/>
  <c r="GX6" i="9"/>
  <c r="GX5" i="9"/>
  <c r="GX4" i="9"/>
  <c r="FY84" i="8"/>
  <c r="GA84" i="8"/>
  <c r="FS84" i="8"/>
  <c r="FY83" i="8"/>
  <c r="GA83" i="8"/>
  <c r="FS83" i="8"/>
  <c r="FY82" i="8"/>
  <c r="GA82" i="8"/>
  <c r="FS82" i="8"/>
  <c r="FY81" i="8"/>
  <c r="GA81" i="8"/>
  <c r="FS81" i="8"/>
  <c r="FY80" i="8"/>
  <c r="GA80" i="8"/>
  <c r="FS80" i="8"/>
  <c r="FY79" i="8"/>
  <c r="GA79" i="8"/>
  <c r="FS79" i="8"/>
  <c r="FY78" i="8"/>
  <c r="GA78" i="8"/>
  <c r="FS78" i="8"/>
  <c r="FY77" i="8"/>
  <c r="GA77" i="8"/>
  <c r="FS77" i="8"/>
  <c r="FY76" i="8"/>
  <c r="GA76" i="8"/>
  <c r="FS76" i="8"/>
  <c r="FY75" i="8"/>
  <c r="GA75" i="8"/>
  <c r="FS75" i="8"/>
  <c r="FY74" i="8"/>
  <c r="GA74" i="8"/>
  <c r="FS74" i="8"/>
  <c r="FY73" i="8"/>
  <c r="GA73" i="8"/>
  <c r="FS73" i="8"/>
  <c r="FY72" i="8"/>
  <c r="GA72" i="8"/>
  <c r="FS72" i="8"/>
  <c r="FY71" i="8"/>
  <c r="GA71" i="8"/>
  <c r="FS71" i="8"/>
  <c r="FY70" i="8"/>
  <c r="GA70" i="8"/>
  <c r="FS70" i="8"/>
  <c r="FY69" i="8"/>
  <c r="GA69" i="8"/>
  <c r="FS69" i="8"/>
  <c r="FY68" i="8"/>
  <c r="GA68" i="8"/>
  <c r="FS68" i="8"/>
  <c r="FY67" i="8"/>
  <c r="GA67" i="8"/>
  <c r="FS67" i="8"/>
  <c r="FY66" i="8"/>
  <c r="GA66" i="8"/>
  <c r="FS66" i="8"/>
  <c r="FY65" i="8"/>
  <c r="GA65" i="8"/>
  <c r="FS65" i="8"/>
  <c r="FY64" i="8"/>
  <c r="GA64" i="8"/>
  <c r="FS64" i="8"/>
  <c r="FY63" i="8"/>
  <c r="GA63" i="8"/>
  <c r="FS63" i="8"/>
  <c r="FY62" i="8"/>
  <c r="GA62" i="8"/>
  <c r="FS62" i="8"/>
  <c r="FY61" i="8"/>
  <c r="GA61" i="8"/>
  <c r="FS61" i="8"/>
  <c r="FY60" i="8"/>
  <c r="GA60" i="8"/>
  <c r="FS60" i="8"/>
  <c r="FY59" i="8"/>
  <c r="GA59" i="8"/>
  <c r="FS59" i="8"/>
  <c r="FY58" i="8"/>
  <c r="GA58" i="8"/>
  <c r="FS58" i="8"/>
  <c r="FY57" i="8"/>
  <c r="GA57" i="8"/>
  <c r="FS57" i="8"/>
  <c r="FY56" i="8"/>
  <c r="GA56" i="8"/>
  <c r="FS56" i="8"/>
  <c r="FY55" i="8"/>
  <c r="GA55" i="8"/>
  <c r="FS55" i="8"/>
  <c r="FY54" i="8"/>
  <c r="GA54" i="8"/>
  <c r="FS54" i="8"/>
  <c r="FY53" i="8"/>
  <c r="GA53" i="8"/>
  <c r="FS53" i="8"/>
  <c r="FY52" i="8"/>
  <c r="GA52" i="8"/>
  <c r="FS52" i="8"/>
  <c r="FY51" i="8"/>
  <c r="GA51" i="8"/>
  <c r="FS51" i="8"/>
  <c r="FY50" i="8"/>
  <c r="GA50" i="8"/>
  <c r="FS50" i="8"/>
  <c r="FY49" i="8"/>
  <c r="GA49" i="8"/>
  <c r="FS49" i="8"/>
  <c r="FY48" i="8"/>
  <c r="GA48" i="8"/>
  <c r="FS48" i="8"/>
  <c r="FY47" i="8"/>
  <c r="GA47" i="8"/>
  <c r="FS47" i="8"/>
  <c r="FY46" i="8"/>
  <c r="GA46" i="8"/>
  <c r="FS46" i="8"/>
  <c r="FY45" i="8"/>
  <c r="GA45" i="8"/>
  <c r="FS45" i="8"/>
  <c r="FY44" i="8"/>
  <c r="GA44" i="8"/>
  <c r="FS44" i="8"/>
  <c r="FY43" i="8"/>
  <c r="GA43" i="8"/>
  <c r="FS43" i="8"/>
  <c r="FY42" i="8"/>
  <c r="GA42" i="8"/>
  <c r="FS42" i="8"/>
  <c r="FY41" i="8"/>
  <c r="GA41" i="8"/>
  <c r="FS41" i="8"/>
  <c r="FY40" i="8"/>
  <c r="GA40" i="8"/>
  <c r="FS40" i="8"/>
  <c r="FY39" i="8"/>
  <c r="GA39" i="8"/>
  <c r="FS39" i="8"/>
  <c r="FY38" i="8"/>
  <c r="GA38" i="8"/>
  <c r="FS38" i="8"/>
  <c r="FY37" i="8"/>
  <c r="GA37" i="8"/>
  <c r="FS37" i="8"/>
  <c r="FY36" i="8"/>
  <c r="GA36" i="8"/>
  <c r="FS36" i="8"/>
  <c r="FY35" i="8"/>
  <c r="GA35" i="8"/>
  <c r="FS35" i="8"/>
  <c r="FY34" i="8"/>
  <c r="GA34" i="8"/>
  <c r="FS34" i="8"/>
  <c r="FY33" i="8"/>
  <c r="GA33" i="8"/>
  <c r="FS33" i="8"/>
  <c r="FY32" i="8"/>
  <c r="GA32" i="8"/>
  <c r="FS32" i="8"/>
  <c r="FY31" i="8"/>
  <c r="GA31" i="8"/>
  <c r="FS31" i="8"/>
  <c r="FY30" i="8"/>
  <c r="GA30" i="8"/>
  <c r="FS30" i="8"/>
  <c r="FY29" i="8"/>
  <c r="GA29" i="8"/>
  <c r="FS29" i="8"/>
  <c r="FY28" i="8"/>
  <c r="GA28" i="8"/>
  <c r="FS28" i="8"/>
  <c r="FY27" i="8"/>
  <c r="GA27" i="8"/>
  <c r="FS27" i="8"/>
  <c r="FY26" i="8"/>
  <c r="GA26" i="8"/>
  <c r="FS26" i="8"/>
  <c r="FY25" i="8"/>
  <c r="GA25" i="8"/>
  <c r="FS25" i="8"/>
  <c r="FY24" i="8"/>
  <c r="GA24" i="8"/>
  <c r="FS24" i="8"/>
  <c r="FY23" i="8"/>
  <c r="GA23" i="8"/>
  <c r="FS23" i="8"/>
  <c r="FY22" i="8"/>
  <c r="GA22" i="8"/>
  <c r="FS22" i="8"/>
  <c r="FY21" i="8"/>
  <c r="GA21" i="8"/>
  <c r="FS21" i="8"/>
  <c r="FY20" i="8"/>
  <c r="GA20" i="8"/>
  <c r="FS20" i="8"/>
  <c r="FY19" i="8"/>
  <c r="GA19" i="8"/>
  <c r="FS19" i="8"/>
  <c r="FY18" i="8"/>
  <c r="GA18" i="8"/>
  <c r="FS18" i="8"/>
  <c r="FY17" i="8"/>
  <c r="GA17" i="8"/>
  <c r="FS17" i="8"/>
  <c r="FY16" i="8"/>
  <c r="GA16" i="8"/>
  <c r="FS16" i="8"/>
  <c r="FY15" i="8"/>
  <c r="GA15" i="8"/>
  <c r="FS15" i="8"/>
  <c r="FY14" i="8"/>
  <c r="GA14" i="8"/>
  <c r="FS14" i="8"/>
  <c r="FY13" i="8"/>
  <c r="GA13" i="8"/>
  <c r="FS13" i="8"/>
  <c r="FY12" i="8"/>
  <c r="GA12" i="8"/>
  <c r="FS12" i="8"/>
  <c r="FY11" i="8"/>
  <c r="GA11" i="8"/>
  <c r="FS11" i="8"/>
  <c r="FY10" i="8"/>
  <c r="GA10" i="8"/>
  <c r="FS10" i="8"/>
  <c r="FY9" i="8"/>
  <c r="GA9" i="8"/>
  <c r="FS9" i="8"/>
  <c r="FY8" i="8"/>
  <c r="GA8" i="8"/>
  <c r="FS8" i="8"/>
  <c r="FY7" i="8"/>
  <c r="GA7" i="8"/>
  <c r="FS7" i="8"/>
  <c r="FY5" i="8"/>
  <c r="GA5" i="8"/>
  <c r="FS5" i="8"/>
  <c r="GA4" i="8"/>
  <c r="FY4" i="8"/>
  <c r="FS4" i="8"/>
  <c r="FQ4" i="8"/>
  <c r="FQ84" i="8"/>
  <c r="FQ83" i="8"/>
  <c r="FQ82" i="8"/>
  <c r="FQ81" i="8"/>
  <c r="FQ80" i="8"/>
  <c r="FQ79" i="8"/>
  <c r="FQ78" i="8"/>
  <c r="FQ77" i="8"/>
  <c r="FQ76" i="8"/>
  <c r="FQ75" i="8"/>
  <c r="FQ74" i="8"/>
  <c r="FQ73" i="8"/>
  <c r="FQ72" i="8"/>
  <c r="FQ71" i="8"/>
  <c r="FQ70" i="8"/>
  <c r="FQ69" i="8"/>
  <c r="FQ68" i="8"/>
  <c r="FQ67" i="8"/>
  <c r="FQ66" i="8"/>
  <c r="FQ65" i="8"/>
  <c r="FQ64" i="8"/>
  <c r="FQ63" i="8"/>
  <c r="FQ62" i="8"/>
  <c r="FQ61" i="8"/>
  <c r="FQ60" i="8"/>
  <c r="FQ59" i="8"/>
  <c r="FQ58" i="8"/>
  <c r="FQ57" i="8"/>
  <c r="FQ56" i="8"/>
  <c r="FQ55" i="8"/>
  <c r="FQ54" i="8"/>
  <c r="FQ53" i="8"/>
  <c r="FQ52" i="8"/>
  <c r="FQ51" i="8"/>
  <c r="FQ50" i="8"/>
  <c r="FQ49" i="8"/>
  <c r="FQ48" i="8"/>
  <c r="FQ47" i="8"/>
  <c r="FQ46" i="8"/>
  <c r="FQ45" i="8"/>
  <c r="FQ44" i="8"/>
  <c r="FQ43" i="8"/>
  <c r="FQ42" i="8"/>
  <c r="FQ41" i="8"/>
  <c r="FQ40" i="8"/>
  <c r="FQ39" i="8"/>
  <c r="FQ38" i="8"/>
  <c r="FQ37" i="8"/>
  <c r="FQ36" i="8"/>
  <c r="FQ35" i="8"/>
  <c r="FQ34" i="8"/>
  <c r="FQ33" i="8"/>
  <c r="FQ32" i="8"/>
  <c r="FQ31" i="8"/>
  <c r="FQ30" i="8"/>
  <c r="FQ29" i="8"/>
  <c r="FQ28" i="8"/>
  <c r="FQ27" i="8"/>
  <c r="FQ26" i="8"/>
  <c r="FQ25" i="8"/>
  <c r="FQ24" i="8"/>
  <c r="FQ23" i="8"/>
  <c r="FQ22" i="8"/>
  <c r="FQ21" i="8"/>
  <c r="FQ20" i="8"/>
  <c r="FQ19" i="8"/>
  <c r="FQ18" i="8"/>
  <c r="FQ17" i="8"/>
  <c r="FQ16" i="8"/>
  <c r="FQ15" i="8"/>
  <c r="FQ14" i="8"/>
  <c r="FQ13" i="8"/>
  <c r="FQ12" i="8"/>
  <c r="FQ11" i="8"/>
  <c r="FQ10" i="8"/>
  <c r="FQ9" i="8"/>
  <c r="FQ8" i="8"/>
  <c r="FQ7" i="8"/>
  <c r="EE6" i="8"/>
  <c r="FQ6" i="8"/>
  <c r="FQ5" i="8"/>
  <c r="FY6" i="8"/>
  <c r="GA6" i="8"/>
  <c r="FS6" i="8"/>
  <c r="GL84" i="9"/>
  <c r="GK84" i="9"/>
  <c r="GL83" i="9"/>
  <c r="GK83" i="9"/>
  <c r="GL82" i="9"/>
  <c r="GK82" i="9"/>
  <c r="GL81" i="9"/>
  <c r="GK81" i="9"/>
  <c r="GL80" i="9"/>
  <c r="GK80" i="9"/>
  <c r="GL79" i="9"/>
  <c r="GK79" i="9"/>
  <c r="GL78" i="9"/>
  <c r="GK78" i="9"/>
  <c r="GL77" i="9"/>
  <c r="GK77" i="9"/>
  <c r="GL76" i="9"/>
  <c r="GK76" i="9"/>
  <c r="GL75" i="9"/>
  <c r="GK75" i="9"/>
  <c r="GL74" i="9"/>
  <c r="GK74" i="9"/>
  <c r="GL73" i="9"/>
  <c r="GK73" i="9"/>
  <c r="GL72" i="9"/>
  <c r="GK72" i="9"/>
  <c r="GL71" i="9"/>
  <c r="GK71" i="9"/>
  <c r="GL70" i="9"/>
  <c r="GK70" i="9"/>
  <c r="GL69" i="9"/>
  <c r="GK69" i="9"/>
  <c r="GL68" i="9"/>
  <c r="GK68" i="9"/>
  <c r="GL67" i="9"/>
  <c r="GK67" i="9"/>
  <c r="GL66" i="9"/>
  <c r="GK66" i="9"/>
  <c r="GL65" i="9"/>
  <c r="GK65" i="9"/>
  <c r="GL64" i="9"/>
  <c r="GK64" i="9"/>
  <c r="GL63" i="9"/>
  <c r="GK63" i="9"/>
  <c r="GL62" i="9"/>
  <c r="GK62" i="9"/>
  <c r="GL61" i="9"/>
  <c r="GK61" i="9"/>
  <c r="GL60" i="9"/>
  <c r="GK60" i="9"/>
  <c r="GL59" i="9"/>
  <c r="GK59" i="9"/>
  <c r="GL58" i="9"/>
  <c r="GK58" i="9"/>
  <c r="GL57" i="9"/>
  <c r="GK57" i="9"/>
  <c r="GL56" i="9"/>
  <c r="GK56" i="9"/>
  <c r="GL55" i="9"/>
  <c r="GK55" i="9"/>
  <c r="GL54" i="9"/>
  <c r="GK54" i="9"/>
  <c r="GL53" i="9"/>
  <c r="GK53" i="9"/>
  <c r="GL52" i="9"/>
  <c r="GK52" i="9"/>
  <c r="GL51" i="9"/>
  <c r="GK51" i="9"/>
  <c r="GL50" i="9"/>
  <c r="GK50" i="9"/>
  <c r="GL49" i="9"/>
  <c r="GK49" i="9"/>
  <c r="GL48" i="9"/>
  <c r="GK48" i="9"/>
  <c r="GL47" i="9"/>
  <c r="GK47" i="9"/>
  <c r="GL46" i="9"/>
  <c r="GK46" i="9"/>
  <c r="GL45" i="9"/>
  <c r="GK45" i="9"/>
  <c r="GL44" i="9"/>
  <c r="GK44" i="9"/>
  <c r="GL43" i="9"/>
  <c r="GK43" i="9"/>
  <c r="GL42" i="9"/>
  <c r="GK42" i="9"/>
  <c r="GL41" i="9"/>
  <c r="GK41" i="9"/>
  <c r="GL40" i="9"/>
  <c r="GK40" i="9"/>
  <c r="GL39" i="9"/>
  <c r="GK39" i="9"/>
  <c r="GL38" i="9"/>
  <c r="GK38" i="9"/>
  <c r="GL37" i="9"/>
  <c r="GK37" i="9"/>
  <c r="GL36" i="9"/>
  <c r="GK36" i="9"/>
  <c r="GL35" i="9"/>
  <c r="GK35" i="9"/>
  <c r="GL34" i="9"/>
  <c r="GK34" i="9"/>
  <c r="GL33" i="9"/>
  <c r="GK33" i="9"/>
  <c r="GL32" i="9"/>
  <c r="GK32" i="9"/>
  <c r="GL31" i="9"/>
  <c r="GK31" i="9"/>
  <c r="GL30" i="9"/>
  <c r="GK30" i="9"/>
  <c r="GL29" i="9"/>
  <c r="GK29" i="9"/>
  <c r="GL28" i="9"/>
  <c r="GK28" i="9"/>
  <c r="GL27" i="9"/>
  <c r="GK27" i="9"/>
  <c r="GL26" i="9"/>
  <c r="GK26" i="9"/>
  <c r="GL25" i="9"/>
  <c r="GK25" i="9"/>
  <c r="GL24" i="9"/>
  <c r="GK24" i="9"/>
  <c r="GL23" i="9"/>
  <c r="GK23" i="9"/>
  <c r="GL22" i="9"/>
  <c r="GK22" i="9"/>
  <c r="GL21" i="9"/>
  <c r="GK21" i="9"/>
  <c r="GL20" i="9"/>
  <c r="GK20" i="9"/>
  <c r="GL19" i="9"/>
  <c r="GK19" i="9"/>
  <c r="GL18" i="9"/>
  <c r="GK18" i="9"/>
  <c r="GL17" i="9"/>
  <c r="GK17" i="9"/>
  <c r="GL16" i="9"/>
  <c r="GK16" i="9"/>
  <c r="GL15" i="9"/>
  <c r="GK15" i="9"/>
  <c r="GL14" i="9"/>
  <c r="GK14" i="9"/>
  <c r="GL13" i="9"/>
  <c r="GK13" i="9"/>
  <c r="GL12" i="9"/>
  <c r="GK12" i="9"/>
  <c r="GL11" i="9"/>
  <c r="GK11" i="9"/>
  <c r="GL10" i="9"/>
  <c r="GK10" i="9"/>
  <c r="GL9" i="9"/>
  <c r="GK9" i="9"/>
  <c r="GL8" i="9"/>
  <c r="GK8" i="9"/>
  <c r="GL7" i="9"/>
  <c r="GK7" i="9"/>
  <c r="GL6" i="9"/>
  <c r="GK6" i="9"/>
  <c r="GL5" i="9"/>
  <c r="GK5" i="9"/>
  <c r="GL4" i="9"/>
  <c r="GK4" i="9"/>
  <c r="GC84" i="9"/>
  <c r="GD84" i="9"/>
  <c r="GC83" i="9"/>
  <c r="GD83" i="9"/>
  <c r="GC82" i="9"/>
  <c r="GD82" i="9"/>
  <c r="GC81" i="9"/>
  <c r="GD81" i="9"/>
  <c r="GC80" i="9"/>
  <c r="GD80" i="9"/>
  <c r="GC79" i="9"/>
  <c r="GD79" i="9"/>
  <c r="GC78" i="9"/>
  <c r="GD78" i="9"/>
  <c r="GC77" i="9"/>
  <c r="GD77" i="9"/>
  <c r="GC76" i="9"/>
  <c r="GD76" i="9"/>
  <c r="GC75" i="9"/>
  <c r="GD75" i="9"/>
  <c r="GC74" i="9"/>
  <c r="GD74" i="9"/>
  <c r="GC73" i="9"/>
  <c r="GD73" i="9"/>
  <c r="GC72" i="9"/>
  <c r="GD72" i="9"/>
  <c r="GC71" i="9"/>
  <c r="GD71" i="9"/>
  <c r="GC70" i="9"/>
  <c r="GD70" i="9"/>
  <c r="GC69" i="9"/>
  <c r="GD69" i="9"/>
  <c r="GC68" i="9"/>
  <c r="GD68" i="9"/>
  <c r="GC67" i="9"/>
  <c r="GD67" i="9"/>
  <c r="GC66" i="9"/>
  <c r="GD66" i="9"/>
  <c r="GC65" i="9"/>
  <c r="GD65" i="9"/>
  <c r="GC64" i="9"/>
  <c r="GD64" i="9"/>
  <c r="GC63" i="9"/>
  <c r="GD63" i="9"/>
  <c r="GC62" i="9"/>
  <c r="GD62" i="9"/>
  <c r="GC61" i="9"/>
  <c r="GD61" i="9"/>
  <c r="GC60" i="9"/>
  <c r="GD60" i="9"/>
  <c r="GC59" i="9"/>
  <c r="GD59" i="9"/>
  <c r="GC58" i="9"/>
  <c r="GD58" i="9"/>
  <c r="GC57" i="9"/>
  <c r="GD57" i="9"/>
  <c r="GC56" i="9"/>
  <c r="GD56" i="9"/>
  <c r="GC55" i="9"/>
  <c r="GD55" i="9"/>
  <c r="GC54" i="9"/>
  <c r="GD54" i="9"/>
  <c r="GC53" i="9"/>
  <c r="GD53" i="9"/>
  <c r="GC52" i="9"/>
  <c r="GD52" i="9"/>
  <c r="GC51" i="9"/>
  <c r="GD51" i="9"/>
  <c r="GC50" i="9"/>
  <c r="GD50" i="9"/>
  <c r="GC49" i="9"/>
  <c r="GD49" i="9"/>
  <c r="GC48" i="9"/>
  <c r="GD48" i="9"/>
  <c r="GC47" i="9"/>
  <c r="GD47" i="9"/>
  <c r="GC46" i="9"/>
  <c r="GD46" i="9"/>
  <c r="GC45" i="9"/>
  <c r="GD45" i="9"/>
  <c r="GC44" i="9"/>
  <c r="GD44" i="9"/>
  <c r="GC43" i="9"/>
  <c r="GD43" i="9"/>
  <c r="GC42" i="9"/>
  <c r="GD42" i="9"/>
  <c r="GC41" i="9"/>
  <c r="GD41" i="9"/>
  <c r="GC40" i="9"/>
  <c r="GD40" i="9"/>
  <c r="GC39" i="9"/>
  <c r="GD39" i="9"/>
  <c r="GC38" i="9"/>
  <c r="GD38" i="9"/>
  <c r="GC37" i="9"/>
  <c r="GD37" i="9"/>
  <c r="GC36" i="9"/>
  <c r="GD36" i="9"/>
  <c r="GC35" i="9"/>
  <c r="GD35" i="9"/>
  <c r="GC34" i="9"/>
  <c r="GD34" i="9"/>
  <c r="GC33" i="9"/>
  <c r="GD33" i="9"/>
  <c r="GC32" i="9"/>
  <c r="GD32" i="9"/>
  <c r="GC31" i="9"/>
  <c r="GD31" i="9"/>
  <c r="GC30" i="9"/>
  <c r="GD30" i="9"/>
  <c r="GC29" i="9"/>
  <c r="GD29" i="9"/>
  <c r="GC28" i="9"/>
  <c r="GD28" i="9"/>
  <c r="GC27" i="9"/>
  <c r="GD27" i="9"/>
  <c r="GC26" i="9"/>
  <c r="GD26" i="9"/>
  <c r="GC25" i="9"/>
  <c r="GD25" i="9"/>
  <c r="GC24" i="9"/>
  <c r="GD24" i="9"/>
  <c r="GC23" i="9"/>
  <c r="GD23" i="9"/>
  <c r="GC22" i="9"/>
  <c r="GD22" i="9"/>
  <c r="GC21" i="9"/>
  <c r="GD21" i="9"/>
  <c r="GC20" i="9"/>
  <c r="GD20" i="9"/>
  <c r="GC19" i="9"/>
  <c r="GD19" i="9"/>
  <c r="GC18" i="9"/>
  <c r="GD18" i="9"/>
  <c r="GC17" i="9"/>
  <c r="GD17" i="9"/>
  <c r="GC16" i="9"/>
  <c r="GD16" i="9"/>
  <c r="GC15" i="9"/>
  <c r="GD15" i="9"/>
  <c r="GC14" i="9"/>
  <c r="GD14" i="9"/>
  <c r="GC13" i="9"/>
  <c r="GD13" i="9"/>
  <c r="GC12" i="9"/>
  <c r="GD12" i="9"/>
  <c r="GC11" i="9"/>
  <c r="GD11" i="9"/>
  <c r="GC10" i="9"/>
  <c r="GD10" i="9"/>
  <c r="GC9" i="9"/>
  <c r="GD9" i="9"/>
  <c r="GC8" i="9"/>
  <c r="GD8" i="9"/>
  <c r="GC7" i="9"/>
  <c r="GD7" i="9"/>
  <c r="GC6" i="9"/>
  <c r="GD6" i="9"/>
  <c r="GC5" i="9"/>
  <c r="GD5" i="9"/>
  <c r="GD4" i="9"/>
  <c r="GC4" i="9"/>
  <c r="GM84" i="9"/>
  <c r="GM83" i="9"/>
  <c r="GM82" i="9"/>
  <c r="GM81" i="9"/>
  <c r="GM80" i="9"/>
  <c r="GM79" i="9"/>
  <c r="GM78" i="9"/>
  <c r="GM77" i="9"/>
  <c r="GM76" i="9"/>
  <c r="GM75" i="9"/>
  <c r="GM74" i="9"/>
  <c r="GM73" i="9"/>
  <c r="GM72" i="9"/>
  <c r="GM71" i="9"/>
  <c r="GM70" i="9"/>
  <c r="GM69" i="9"/>
  <c r="GM68" i="9"/>
  <c r="GM67" i="9"/>
  <c r="GM66" i="9"/>
  <c r="GM65" i="9"/>
  <c r="GM64" i="9"/>
  <c r="GM63" i="9"/>
  <c r="GM62" i="9"/>
  <c r="GM61" i="9"/>
  <c r="GM60" i="9"/>
  <c r="GM59" i="9"/>
  <c r="GM58" i="9"/>
  <c r="GM57" i="9"/>
  <c r="GM56" i="9"/>
  <c r="GM55" i="9"/>
  <c r="GM54" i="9"/>
  <c r="GM53" i="9"/>
  <c r="GM52" i="9"/>
  <c r="GM51" i="9"/>
  <c r="GM50" i="9"/>
  <c r="GM49" i="9"/>
  <c r="GM48" i="9"/>
  <c r="GM47" i="9"/>
  <c r="GM46" i="9"/>
  <c r="GM45" i="9"/>
  <c r="GM44" i="9"/>
  <c r="GM43" i="9"/>
  <c r="GM42" i="9"/>
  <c r="GM41" i="9"/>
  <c r="GM40" i="9"/>
  <c r="GM39" i="9"/>
  <c r="GM38" i="9"/>
  <c r="GM37" i="9"/>
  <c r="GM36" i="9"/>
  <c r="GM35" i="9"/>
  <c r="GM34" i="9"/>
  <c r="GM33" i="9"/>
  <c r="GM32" i="9"/>
  <c r="GM31" i="9"/>
  <c r="GM30" i="9"/>
  <c r="GM29" i="9"/>
  <c r="GM28" i="9"/>
  <c r="GM27" i="9"/>
  <c r="GM26" i="9"/>
  <c r="GM25" i="9"/>
  <c r="GM24" i="9"/>
  <c r="GM23" i="9"/>
  <c r="GM22" i="9"/>
  <c r="GM21" i="9"/>
  <c r="GM20" i="9"/>
  <c r="GM19" i="9"/>
  <c r="GM18" i="9"/>
  <c r="GM17" i="9"/>
  <c r="GM16" i="9"/>
  <c r="GM15" i="9"/>
  <c r="GM14" i="9"/>
  <c r="GM13" i="9"/>
  <c r="GM12" i="9"/>
  <c r="GM11" i="9"/>
  <c r="GM10" i="9"/>
  <c r="GM9" i="9"/>
  <c r="GM8" i="9"/>
  <c r="GM7" i="9"/>
  <c r="GM6" i="9"/>
  <c r="GM5" i="9"/>
  <c r="GM4" i="9"/>
  <c r="FW84" i="9"/>
  <c r="FV84" i="9"/>
  <c r="FW83" i="9"/>
  <c r="FV83" i="9"/>
  <c r="FW82" i="9"/>
  <c r="FV82" i="9"/>
  <c r="FW81" i="9"/>
  <c r="FV81" i="9"/>
  <c r="FW80" i="9"/>
  <c r="FV80" i="9"/>
  <c r="FW79" i="9"/>
  <c r="FV79" i="9"/>
  <c r="FW78" i="9"/>
  <c r="FV78" i="9"/>
  <c r="FW77" i="9"/>
  <c r="FV77" i="9"/>
  <c r="FW76" i="9"/>
  <c r="FV76" i="9"/>
  <c r="FW75" i="9"/>
  <c r="FV75" i="9"/>
  <c r="FW74" i="9"/>
  <c r="FV74" i="9"/>
  <c r="FW73" i="9"/>
  <c r="FV73" i="9"/>
  <c r="FW72" i="9"/>
  <c r="FV72" i="9"/>
  <c r="FW71" i="9"/>
  <c r="FV71" i="9"/>
  <c r="FW70" i="9"/>
  <c r="FV70" i="9"/>
  <c r="FW69" i="9"/>
  <c r="FV69" i="9"/>
  <c r="FW68" i="9"/>
  <c r="FV68" i="9"/>
  <c r="FW67" i="9"/>
  <c r="FV67" i="9"/>
  <c r="FW66" i="9"/>
  <c r="FV66" i="9"/>
  <c r="FW65" i="9"/>
  <c r="FV65" i="9"/>
  <c r="FW64" i="9"/>
  <c r="FV64" i="9"/>
  <c r="FW63" i="9"/>
  <c r="FV63" i="9"/>
  <c r="FW62" i="9"/>
  <c r="FV62" i="9"/>
  <c r="FW61" i="9"/>
  <c r="FV61" i="9"/>
  <c r="FW60" i="9"/>
  <c r="FV60" i="9"/>
  <c r="FW59" i="9"/>
  <c r="FV59" i="9"/>
  <c r="FW58" i="9"/>
  <c r="FV58" i="9"/>
  <c r="FW57" i="9"/>
  <c r="FV57" i="9"/>
  <c r="FW56" i="9"/>
  <c r="FV56" i="9"/>
  <c r="FW55" i="9"/>
  <c r="FV55" i="9"/>
  <c r="FW54" i="9"/>
  <c r="FV54" i="9"/>
  <c r="FW53" i="9"/>
  <c r="FV53" i="9"/>
  <c r="FW52" i="9"/>
  <c r="FV52" i="9"/>
  <c r="FW51" i="9"/>
  <c r="FV51" i="9"/>
  <c r="FW50" i="9"/>
  <c r="FV50" i="9"/>
  <c r="FW49" i="9"/>
  <c r="FV49" i="9"/>
  <c r="FW48" i="9"/>
  <c r="FV48" i="9"/>
  <c r="FW47" i="9"/>
  <c r="FV47" i="9"/>
  <c r="FW46" i="9"/>
  <c r="FV46" i="9"/>
  <c r="FW45" i="9"/>
  <c r="FV45" i="9"/>
  <c r="FW44" i="9"/>
  <c r="FV44" i="9"/>
  <c r="FW43" i="9"/>
  <c r="FV43" i="9"/>
  <c r="FW42" i="9"/>
  <c r="FV42" i="9"/>
  <c r="FW41" i="9"/>
  <c r="FV41" i="9"/>
  <c r="FW40" i="9"/>
  <c r="FV40" i="9"/>
  <c r="FW39" i="9"/>
  <c r="FV39" i="9"/>
  <c r="FW38" i="9"/>
  <c r="FV38" i="9"/>
  <c r="FW37" i="9"/>
  <c r="FV37" i="9"/>
  <c r="FW36" i="9"/>
  <c r="FV36" i="9"/>
  <c r="FW35" i="9"/>
  <c r="FV35" i="9"/>
  <c r="FW34" i="9"/>
  <c r="FV34" i="9"/>
  <c r="FW33" i="9"/>
  <c r="FV33" i="9"/>
  <c r="FW32" i="9"/>
  <c r="FV32" i="9"/>
  <c r="FW31" i="9"/>
  <c r="FV31" i="9"/>
  <c r="FW30" i="9"/>
  <c r="FV30" i="9"/>
  <c r="FW29" i="9"/>
  <c r="FV29" i="9"/>
  <c r="FW28" i="9"/>
  <c r="FV28" i="9"/>
  <c r="FW27" i="9"/>
  <c r="FV27" i="9"/>
  <c r="FW26" i="9"/>
  <c r="FV26" i="9"/>
  <c r="FW25" i="9"/>
  <c r="FV25" i="9"/>
  <c r="FW24" i="9"/>
  <c r="FV24" i="9"/>
  <c r="FW23" i="9"/>
  <c r="FV23" i="9"/>
  <c r="FW22" i="9"/>
  <c r="FV22" i="9"/>
  <c r="FW21" i="9"/>
  <c r="FV21" i="9"/>
  <c r="FW20" i="9"/>
  <c r="FV20" i="9"/>
  <c r="FW19" i="9"/>
  <c r="FV19" i="9"/>
  <c r="FW18" i="9"/>
  <c r="FV18" i="9"/>
  <c r="FW17" i="9"/>
  <c r="FV17" i="9"/>
  <c r="FW16" i="9"/>
  <c r="FV16" i="9"/>
  <c r="FW15" i="9"/>
  <c r="FV15" i="9"/>
  <c r="FW14" i="9"/>
  <c r="FV14" i="9"/>
  <c r="FW13" i="9"/>
  <c r="FV13" i="9"/>
  <c r="FW12" i="9"/>
  <c r="FV12" i="9"/>
  <c r="FW11" i="9"/>
  <c r="FV11" i="9"/>
  <c r="FW10" i="9"/>
  <c r="FV10" i="9"/>
  <c r="FW9" i="9"/>
  <c r="FV9" i="9"/>
  <c r="FW8" i="9"/>
  <c r="FV8" i="9"/>
  <c r="FW7" i="9"/>
  <c r="FV7" i="9"/>
  <c r="FW6" i="9"/>
  <c r="FV6" i="9"/>
  <c r="FW5" i="9"/>
  <c r="FV5" i="9"/>
  <c r="FW4" i="9"/>
  <c r="FV4" i="9"/>
  <c r="DR84" i="9"/>
  <c r="DS84" i="9"/>
  <c r="DU84" i="9"/>
  <c r="DX84" i="9"/>
  <c r="DR83" i="9"/>
  <c r="DS83" i="9"/>
  <c r="DU83" i="9"/>
  <c r="DX83" i="9"/>
  <c r="DR82" i="9"/>
  <c r="DS82" i="9"/>
  <c r="DU82" i="9"/>
  <c r="DX82" i="9"/>
  <c r="DR81" i="9"/>
  <c r="DS81" i="9"/>
  <c r="DU81" i="9"/>
  <c r="DX81" i="9"/>
  <c r="DR80" i="9"/>
  <c r="DS80" i="9"/>
  <c r="DU80" i="9"/>
  <c r="DX80" i="9"/>
  <c r="DR79" i="9"/>
  <c r="DS79" i="9"/>
  <c r="DU79" i="9"/>
  <c r="DX79" i="9"/>
  <c r="DR78" i="9"/>
  <c r="DS78" i="9"/>
  <c r="DU78" i="9"/>
  <c r="DX78" i="9"/>
  <c r="DR77" i="9"/>
  <c r="DS77" i="9"/>
  <c r="DU77" i="9"/>
  <c r="DX77" i="9"/>
  <c r="DR76" i="9"/>
  <c r="DS76" i="9"/>
  <c r="DU76" i="9"/>
  <c r="DX76" i="9"/>
  <c r="DR75" i="9"/>
  <c r="DS75" i="9"/>
  <c r="DU75" i="9"/>
  <c r="DX75" i="9"/>
  <c r="DR74" i="9"/>
  <c r="DS74" i="9"/>
  <c r="DU74" i="9"/>
  <c r="DX74" i="9"/>
  <c r="DR73" i="9"/>
  <c r="DS73" i="9"/>
  <c r="DU73" i="9"/>
  <c r="DX73" i="9"/>
  <c r="DR72" i="9"/>
  <c r="DS72" i="9"/>
  <c r="DU72" i="9"/>
  <c r="DX72" i="9"/>
  <c r="DR71" i="9"/>
  <c r="DS71" i="9"/>
  <c r="DU71" i="9"/>
  <c r="DX71" i="9"/>
  <c r="DR70" i="9"/>
  <c r="DS70" i="9"/>
  <c r="DU70" i="9"/>
  <c r="DX70" i="9"/>
  <c r="DR69" i="9"/>
  <c r="DS69" i="9"/>
  <c r="DU69" i="9"/>
  <c r="DX69" i="9"/>
  <c r="DR68" i="9"/>
  <c r="DS68" i="9"/>
  <c r="DU68" i="9"/>
  <c r="DX68" i="9"/>
  <c r="DR67" i="9"/>
  <c r="DS67" i="9"/>
  <c r="DU67" i="9"/>
  <c r="DX67" i="9"/>
  <c r="DR66" i="9"/>
  <c r="DS66" i="9"/>
  <c r="DU66" i="9"/>
  <c r="DX66" i="9"/>
  <c r="DR65" i="9"/>
  <c r="DS65" i="9"/>
  <c r="DU65" i="9"/>
  <c r="DX65" i="9"/>
  <c r="DR64" i="9"/>
  <c r="DS64" i="9"/>
  <c r="DU64" i="9"/>
  <c r="DX64" i="9"/>
  <c r="DR63" i="9"/>
  <c r="DS63" i="9"/>
  <c r="DU63" i="9"/>
  <c r="DX63" i="9"/>
  <c r="DR62" i="9"/>
  <c r="DS62" i="9"/>
  <c r="DU62" i="9"/>
  <c r="DX62" i="9"/>
  <c r="DR61" i="9"/>
  <c r="DS61" i="9"/>
  <c r="DU61" i="9"/>
  <c r="DX61" i="9"/>
  <c r="DR60" i="9"/>
  <c r="DS60" i="9"/>
  <c r="DU60" i="9"/>
  <c r="DX60" i="9"/>
  <c r="DR59" i="9"/>
  <c r="DS59" i="9"/>
  <c r="DU59" i="9"/>
  <c r="DX59" i="9"/>
  <c r="DR58" i="9"/>
  <c r="DS58" i="9"/>
  <c r="DU58" i="9"/>
  <c r="DX58" i="9"/>
  <c r="DR57" i="9"/>
  <c r="DS57" i="9"/>
  <c r="DU57" i="9"/>
  <c r="DX57" i="9"/>
  <c r="DR56" i="9"/>
  <c r="DS56" i="9"/>
  <c r="DU56" i="9"/>
  <c r="DX56" i="9"/>
  <c r="DR55" i="9"/>
  <c r="DS55" i="9"/>
  <c r="DU55" i="9"/>
  <c r="DX55" i="9"/>
  <c r="DR54" i="9"/>
  <c r="DS54" i="9"/>
  <c r="DU54" i="9"/>
  <c r="DX54" i="9"/>
  <c r="DR53" i="9"/>
  <c r="DS53" i="9"/>
  <c r="DU53" i="9"/>
  <c r="DX53" i="9"/>
  <c r="DR52" i="9"/>
  <c r="DS52" i="9"/>
  <c r="DU52" i="9"/>
  <c r="DX52" i="9"/>
  <c r="DR51" i="9"/>
  <c r="DS51" i="9"/>
  <c r="DU51" i="9"/>
  <c r="DX51" i="9"/>
  <c r="DR50" i="9"/>
  <c r="DS50" i="9"/>
  <c r="DU50" i="9"/>
  <c r="DX50" i="9"/>
  <c r="DR49" i="9"/>
  <c r="DS49" i="9"/>
  <c r="DU49" i="9"/>
  <c r="DX49" i="9"/>
  <c r="DR48" i="9"/>
  <c r="DS48" i="9"/>
  <c r="DU48" i="9"/>
  <c r="DX48" i="9"/>
  <c r="DR47" i="9"/>
  <c r="DS47" i="9"/>
  <c r="DU47" i="9"/>
  <c r="DX47" i="9"/>
  <c r="DR46" i="9"/>
  <c r="DS46" i="9"/>
  <c r="DU46" i="9"/>
  <c r="DX46" i="9"/>
  <c r="DR45" i="9"/>
  <c r="DS45" i="9"/>
  <c r="DU45" i="9"/>
  <c r="DX45" i="9"/>
  <c r="DR44" i="9"/>
  <c r="DS44" i="9"/>
  <c r="DU44" i="9"/>
  <c r="DX44" i="9"/>
  <c r="DR43" i="9"/>
  <c r="DS43" i="9"/>
  <c r="DU43" i="9"/>
  <c r="DX43" i="9"/>
  <c r="DR42" i="9"/>
  <c r="DS42" i="9"/>
  <c r="DU42" i="9"/>
  <c r="DX42" i="9"/>
  <c r="DR41" i="9"/>
  <c r="DS41" i="9"/>
  <c r="DU41" i="9"/>
  <c r="DX41" i="9"/>
  <c r="DR40" i="9"/>
  <c r="DS40" i="9"/>
  <c r="DU40" i="9"/>
  <c r="DX40" i="9"/>
  <c r="DR39" i="9"/>
  <c r="DS39" i="9"/>
  <c r="DU39" i="9"/>
  <c r="DX39" i="9"/>
  <c r="DR38" i="9"/>
  <c r="DS38" i="9"/>
  <c r="DU38" i="9"/>
  <c r="DX38" i="9"/>
  <c r="DR37" i="9"/>
  <c r="DS37" i="9"/>
  <c r="DU37" i="9"/>
  <c r="DX37" i="9"/>
  <c r="DR36" i="9"/>
  <c r="DS36" i="9"/>
  <c r="DU36" i="9"/>
  <c r="DX36" i="9"/>
  <c r="DR35" i="9"/>
  <c r="DS35" i="9"/>
  <c r="DU35" i="9"/>
  <c r="DX35" i="9"/>
  <c r="DR34" i="9"/>
  <c r="DS34" i="9"/>
  <c r="DU34" i="9"/>
  <c r="DX34" i="9"/>
  <c r="DR33" i="9"/>
  <c r="DS33" i="9"/>
  <c r="DU33" i="9"/>
  <c r="DX33" i="9"/>
  <c r="DR32" i="9"/>
  <c r="DS32" i="9"/>
  <c r="DU32" i="9"/>
  <c r="DX32" i="9"/>
  <c r="DR31" i="9"/>
  <c r="DS31" i="9"/>
  <c r="DU31" i="9"/>
  <c r="DX31" i="9"/>
  <c r="DR30" i="9"/>
  <c r="DS30" i="9"/>
  <c r="DU30" i="9"/>
  <c r="DX30" i="9"/>
  <c r="DR29" i="9"/>
  <c r="DS29" i="9"/>
  <c r="DU29" i="9"/>
  <c r="DX29" i="9"/>
  <c r="DR28" i="9"/>
  <c r="DS28" i="9"/>
  <c r="DU28" i="9"/>
  <c r="DX28" i="9"/>
  <c r="DR27" i="9"/>
  <c r="DS27" i="9"/>
  <c r="DU27" i="9"/>
  <c r="DX27" i="9"/>
  <c r="DR26" i="9"/>
  <c r="DS26" i="9"/>
  <c r="DU26" i="9"/>
  <c r="DX26" i="9"/>
  <c r="DR25" i="9"/>
  <c r="DS25" i="9"/>
  <c r="DU25" i="9"/>
  <c r="DX25" i="9"/>
  <c r="DR24" i="9"/>
  <c r="DS24" i="9"/>
  <c r="DU24" i="9"/>
  <c r="DX24" i="9"/>
  <c r="DR23" i="9"/>
  <c r="DS23" i="9"/>
  <c r="DU23" i="9"/>
  <c r="DX23" i="9"/>
  <c r="DR22" i="9"/>
  <c r="DS22" i="9"/>
  <c r="DU22" i="9"/>
  <c r="DX22" i="9"/>
  <c r="DR21" i="9"/>
  <c r="DS21" i="9"/>
  <c r="DU21" i="9"/>
  <c r="DX21" i="9"/>
  <c r="DR20" i="9"/>
  <c r="DS20" i="9"/>
  <c r="DU20" i="9"/>
  <c r="DX20" i="9"/>
  <c r="DR19" i="9"/>
  <c r="DS19" i="9"/>
  <c r="DU19" i="9"/>
  <c r="DX19" i="9"/>
  <c r="DR18" i="9"/>
  <c r="DS18" i="9"/>
  <c r="DU18" i="9"/>
  <c r="DX18" i="9"/>
  <c r="DR17" i="9"/>
  <c r="DS17" i="9"/>
  <c r="DU17" i="9"/>
  <c r="DX17" i="9"/>
  <c r="DR16" i="9"/>
  <c r="DS16" i="9"/>
  <c r="DU16" i="9"/>
  <c r="DX16" i="9"/>
  <c r="DR15" i="9"/>
  <c r="DS15" i="9"/>
  <c r="DU15" i="9"/>
  <c r="DX15" i="9"/>
  <c r="DR14" i="9"/>
  <c r="DS14" i="9"/>
  <c r="DU14" i="9"/>
  <c r="DX14" i="9"/>
  <c r="DR13" i="9"/>
  <c r="DS13" i="9"/>
  <c r="DU13" i="9"/>
  <c r="DX13" i="9"/>
  <c r="DR12" i="9"/>
  <c r="DS12" i="9"/>
  <c r="DU12" i="9"/>
  <c r="DX12" i="9"/>
  <c r="DR11" i="9"/>
  <c r="DS11" i="9"/>
  <c r="DU11" i="9"/>
  <c r="DX11" i="9"/>
  <c r="DR10" i="9"/>
  <c r="DS10" i="9"/>
  <c r="DU10" i="9"/>
  <c r="DX10" i="9"/>
  <c r="DR9" i="9"/>
  <c r="DS9" i="9"/>
  <c r="DU9" i="9"/>
  <c r="DX9" i="9"/>
  <c r="DR8" i="9"/>
  <c r="DS8" i="9"/>
  <c r="DU8" i="9"/>
  <c r="DX8" i="9"/>
  <c r="DR7" i="9"/>
  <c r="DS7" i="9"/>
  <c r="DU7" i="9"/>
  <c r="DX7" i="9"/>
  <c r="DR6" i="9"/>
  <c r="DS6" i="9"/>
  <c r="DU6" i="9"/>
  <c r="DX6" i="9"/>
  <c r="DR5" i="9"/>
  <c r="DS5" i="9"/>
  <c r="DU5" i="9"/>
  <c r="DX5" i="9"/>
  <c r="DX4" i="9"/>
  <c r="DU4" i="9"/>
  <c r="DS4" i="9"/>
  <c r="DR4" i="9"/>
  <c r="EG84" i="9"/>
  <c r="EH84" i="9"/>
  <c r="FH84" i="9"/>
  <c r="EW84" i="9"/>
  <c r="EX84" i="9"/>
  <c r="EG83" i="9"/>
  <c r="EH83" i="9"/>
  <c r="FH83" i="9"/>
  <c r="EW83" i="9"/>
  <c r="EX83" i="9"/>
  <c r="EG82" i="9"/>
  <c r="EH82" i="9"/>
  <c r="FH82" i="9"/>
  <c r="EW82" i="9"/>
  <c r="EX82" i="9"/>
  <c r="EG81" i="9"/>
  <c r="EH81" i="9"/>
  <c r="FH81" i="9"/>
  <c r="EW81" i="9"/>
  <c r="EX81" i="9"/>
  <c r="EG80" i="9"/>
  <c r="EH80" i="9"/>
  <c r="FH80" i="9"/>
  <c r="EW80" i="9"/>
  <c r="EX80" i="9"/>
  <c r="EG79" i="9"/>
  <c r="EH79" i="9"/>
  <c r="FH79" i="9"/>
  <c r="EW79" i="9"/>
  <c r="EX79" i="9"/>
  <c r="EG78" i="9"/>
  <c r="EH78" i="9"/>
  <c r="FH78" i="9"/>
  <c r="EW78" i="9"/>
  <c r="EX78" i="9"/>
  <c r="EG77" i="9"/>
  <c r="EH77" i="9"/>
  <c r="FH77" i="9"/>
  <c r="EW77" i="9"/>
  <c r="EX77" i="9"/>
  <c r="EG76" i="9"/>
  <c r="EH76" i="9"/>
  <c r="FH76" i="9"/>
  <c r="EW76" i="9"/>
  <c r="EX76" i="9"/>
  <c r="EG75" i="9"/>
  <c r="EH75" i="9"/>
  <c r="FH75" i="9"/>
  <c r="EW75" i="9"/>
  <c r="EX75" i="9"/>
  <c r="EG74" i="9"/>
  <c r="EH74" i="9"/>
  <c r="FH74" i="9"/>
  <c r="EW74" i="9"/>
  <c r="EX74" i="9"/>
  <c r="EG73" i="9"/>
  <c r="EH73" i="9"/>
  <c r="FH73" i="9"/>
  <c r="EW73" i="9"/>
  <c r="EX73" i="9"/>
  <c r="EG72" i="9"/>
  <c r="EH72" i="9"/>
  <c r="FH72" i="9"/>
  <c r="EW72" i="9"/>
  <c r="EX72" i="9"/>
  <c r="EG71" i="9"/>
  <c r="EH71" i="9"/>
  <c r="FH71" i="9"/>
  <c r="EW71" i="9"/>
  <c r="EX71" i="9"/>
  <c r="EG70" i="9"/>
  <c r="EH70" i="9"/>
  <c r="FH70" i="9"/>
  <c r="EW70" i="9"/>
  <c r="EX70" i="9"/>
  <c r="EG69" i="9"/>
  <c r="EH69" i="9"/>
  <c r="FH69" i="9"/>
  <c r="EW69" i="9"/>
  <c r="EX69" i="9"/>
  <c r="EG68" i="9"/>
  <c r="EH68" i="9"/>
  <c r="FH68" i="9"/>
  <c r="EW68" i="9"/>
  <c r="EX68" i="9"/>
  <c r="EG67" i="9"/>
  <c r="EH67" i="9"/>
  <c r="FH67" i="9"/>
  <c r="EW67" i="9"/>
  <c r="EX67" i="9"/>
  <c r="EG66" i="9"/>
  <c r="EH66" i="9"/>
  <c r="FH66" i="9"/>
  <c r="EW66" i="9"/>
  <c r="EX66" i="9"/>
  <c r="EG65" i="9"/>
  <c r="EH65" i="9"/>
  <c r="FH65" i="9"/>
  <c r="EW65" i="9"/>
  <c r="EX65" i="9"/>
  <c r="EG64" i="9"/>
  <c r="EH64" i="9"/>
  <c r="FH64" i="9"/>
  <c r="EW64" i="9"/>
  <c r="EX64" i="9"/>
  <c r="EG63" i="9"/>
  <c r="EH63" i="9"/>
  <c r="FH63" i="9"/>
  <c r="EW63" i="9"/>
  <c r="EX63" i="9"/>
  <c r="EG62" i="9"/>
  <c r="EH62" i="9"/>
  <c r="FH62" i="9"/>
  <c r="EW62" i="9"/>
  <c r="EX62" i="9"/>
  <c r="EG61" i="9"/>
  <c r="EH61" i="9"/>
  <c r="FH61" i="9"/>
  <c r="EW61" i="9"/>
  <c r="EX61" i="9"/>
  <c r="EG60" i="9"/>
  <c r="EH60" i="9"/>
  <c r="FH60" i="9"/>
  <c r="EW60" i="9"/>
  <c r="EX60" i="9"/>
  <c r="EG59" i="9"/>
  <c r="EH59" i="9"/>
  <c r="FH59" i="9"/>
  <c r="EW59" i="9"/>
  <c r="EX59" i="9"/>
  <c r="EG58" i="9"/>
  <c r="EH58" i="9"/>
  <c r="FH58" i="9"/>
  <c r="EW58" i="9"/>
  <c r="EX58" i="9"/>
  <c r="EG57" i="9"/>
  <c r="EH57" i="9"/>
  <c r="FH57" i="9"/>
  <c r="EW57" i="9"/>
  <c r="EX57" i="9"/>
  <c r="EG56" i="9"/>
  <c r="EH56" i="9"/>
  <c r="FH56" i="9"/>
  <c r="EW56" i="9"/>
  <c r="EX56" i="9"/>
  <c r="EG55" i="9"/>
  <c r="EH55" i="9"/>
  <c r="FH55" i="9"/>
  <c r="EW55" i="9"/>
  <c r="EX55" i="9"/>
  <c r="EG54" i="9"/>
  <c r="EH54" i="9"/>
  <c r="FH54" i="9"/>
  <c r="EW54" i="9"/>
  <c r="EX54" i="9"/>
  <c r="EG53" i="9"/>
  <c r="EH53" i="9"/>
  <c r="FH53" i="9"/>
  <c r="EW53" i="9"/>
  <c r="EX53" i="9"/>
  <c r="EG52" i="9"/>
  <c r="EH52" i="9"/>
  <c r="FH52" i="9"/>
  <c r="EW52" i="9"/>
  <c r="EX52" i="9"/>
  <c r="EG51" i="9"/>
  <c r="EH51" i="9"/>
  <c r="FH51" i="9"/>
  <c r="EW51" i="9"/>
  <c r="EX51" i="9"/>
  <c r="EG50" i="9"/>
  <c r="EH50" i="9"/>
  <c r="FH50" i="9"/>
  <c r="EW50" i="9"/>
  <c r="EX50" i="9"/>
  <c r="EG49" i="9"/>
  <c r="EH49" i="9"/>
  <c r="FH49" i="9"/>
  <c r="EW49" i="9"/>
  <c r="EX49" i="9"/>
  <c r="EG48" i="9"/>
  <c r="EH48" i="9"/>
  <c r="FH48" i="9"/>
  <c r="EW48" i="9"/>
  <c r="EX48" i="9"/>
  <c r="EG47" i="9"/>
  <c r="EH47" i="9"/>
  <c r="FH47" i="9"/>
  <c r="EW47" i="9"/>
  <c r="EX47" i="9"/>
  <c r="EG46" i="9"/>
  <c r="EH46" i="9"/>
  <c r="FH46" i="9"/>
  <c r="EW46" i="9"/>
  <c r="EX46" i="9"/>
  <c r="EG45" i="9"/>
  <c r="EH45" i="9"/>
  <c r="FH45" i="9"/>
  <c r="EW45" i="9"/>
  <c r="EX45" i="9"/>
  <c r="EG44" i="9"/>
  <c r="EH44" i="9"/>
  <c r="FH44" i="9"/>
  <c r="EW44" i="9"/>
  <c r="EX44" i="9"/>
  <c r="EG43" i="9"/>
  <c r="EH43" i="9"/>
  <c r="FH43" i="9"/>
  <c r="EW43" i="9"/>
  <c r="EX43" i="9"/>
  <c r="EG42" i="9"/>
  <c r="EH42" i="9"/>
  <c r="FH42" i="9"/>
  <c r="EW42" i="9"/>
  <c r="EX42" i="9"/>
  <c r="EG41" i="9"/>
  <c r="EH41" i="9"/>
  <c r="FH41" i="9"/>
  <c r="EW41" i="9"/>
  <c r="EX41" i="9"/>
  <c r="EG40" i="9"/>
  <c r="EH40" i="9"/>
  <c r="FH40" i="9"/>
  <c r="EW40" i="9"/>
  <c r="EX40" i="9"/>
  <c r="EG39" i="9"/>
  <c r="EH39" i="9"/>
  <c r="FH39" i="9"/>
  <c r="EW39" i="9"/>
  <c r="EX39" i="9"/>
  <c r="EG38" i="9"/>
  <c r="EH38" i="9"/>
  <c r="FH38" i="9"/>
  <c r="EW38" i="9"/>
  <c r="EX38" i="9"/>
  <c r="EG37" i="9"/>
  <c r="EH37" i="9"/>
  <c r="FH37" i="9"/>
  <c r="EW37" i="9"/>
  <c r="EX37" i="9"/>
  <c r="EG36" i="9"/>
  <c r="EH36" i="9"/>
  <c r="FH36" i="9"/>
  <c r="EW36" i="9"/>
  <c r="EX36" i="9"/>
  <c r="EG35" i="9"/>
  <c r="EH35" i="9"/>
  <c r="FH35" i="9"/>
  <c r="EW35" i="9"/>
  <c r="EX35" i="9"/>
  <c r="EG34" i="9"/>
  <c r="EH34" i="9"/>
  <c r="FH34" i="9"/>
  <c r="EW34" i="9"/>
  <c r="EX34" i="9"/>
  <c r="EG33" i="9"/>
  <c r="EH33" i="9"/>
  <c r="FH33" i="9"/>
  <c r="EW33" i="9"/>
  <c r="EX33" i="9"/>
  <c r="EG32" i="9"/>
  <c r="EH32" i="9"/>
  <c r="FH32" i="9"/>
  <c r="EW32" i="9"/>
  <c r="EX32" i="9"/>
  <c r="EG31" i="9"/>
  <c r="EH31" i="9"/>
  <c r="FH31" i="9"/>
  <c r="EW31" i="9"/>
  <c r="EX31" i="9"/>
  <c r="EG30" i="9"/>
  <c r="EH30" i="9"/>
  <c r="FH30" i="9"/>
  <c r="EW30" i="9"/>
  <c r="EX30" i="9"/>
  <c r="EG29" i="9"/>
  <c r="EH29" i="9"/>
  <c r="FH29" i="9"/>
  <c r="EW29" i="9"/>
  <c r="EX29" i="9"/>
  <c r="EG28" i="9"/>
  <c r="EH28" i="9"/>
  <c r="FH28" i="9"/>
  <c r="EW28" i="9"/>
  <c r="EX28" i="9"/>
  <c r="EG27" i="9"/>
  <c r="EH27" i="9"/>
  <c r="FH27" i="9"/>
  <c r="EW27" i="9"/>
  <c r="EX27" i="9"/>
  <c r="EG26" i="9"/>
  <c r="EH26" i="9"/>
  <c r="FH26" i="9"/>
  <c r="EW26" i="9"/>
  <c r="EX26" i="9"/>
  <c r="EG25" i="9"/>
  <c r="EH25" i="9"/>
  <c r="FH25" i="9"/>
  <c r="EW25" i="9"/>
  <c r="EX25" i="9"/>
  <c r="EG24" i="9"/>
  <c r="EH24" i="9"/>
  <c r="FH24" i="9"/>
  <c r="EW24" i="9"/>
  <c r="EX24" i="9"/>
  <c r="EG23" i="9"/>
  <c r="EH23" i="9"/>
  <c r="FH23" i="9"/>
  <c r="EW23" i="9"/>
  <c r="EX23" i="9"/>
  <c r="EG22" i="9"/>
  <c r="EH22" i="9"/>
  <c r="FH22" i="9"/>
  <c r="EW22" i="9"/>
  <c r="EX22" i="9"/>
  <c r="EG21" i="9"/>
  <c r="EH21" i="9"/>
  <c r="FH21" i="9"/>
  <c r="EW21" i="9"/>
  <c r="EX21" i="9"/>
  <c r="EG20" i="9"/>
  <c r="EH20" i="9"/>
  <c r="FH20" i="9"/>
  <c r="EW20" i="9"/>
  <c r="EX20" i="9"/>
  <c r="EG19" i="9"/>
  <c r="EH19" i="9"/>
  <c r="FH19" i="9"/>
  <c r="EW19" i="9"/>
  <c r="EX19" i="9"/>
  <c r="EG18" i="9"/>
  <c r="EH18" i="9"/>
  <c r="FH18" i="9"/>
  <c r="EW18" i="9"/>
  <c r="EX18" i="9"/>
  <c r="EG17" i="9"/>
  <c r="EH17" i="9"/>
  <c r="FH17" i="9"/>
  <c r="EW17" i="9"/>
  <c r="EX17" i="9"/>
  <c r="EG16" i="9"/>
  <c r="EH16" i="9"/>
  <c r="FH16" i="9"/>
  <c r="EW16" i="9"/>
  <c r="EX16" i="9"/>
  <c r="EG15" i="9"/>
  <c r="EH15" i="9"/>
  <c r="FH15" i="9"/>
  <c r="EW15" i="9"/>
  <c r="EX15" i="9"/>
  <c r="EG14" i="9"/>
  <c r="EH14" i="9"/>
  <c r="FH14" i="9"/>
  <c r="EW14" i="9"/>
  <c r="EX14" i="9"/>
  <c r="EG13" i="9"/>
  <c r="EH13" i="9"/>
  <c r="FH13" i="9"/>
  <c r="EW13" i="9"/>
  <c r="EX13" i="9"/>
  <c r="EG12" i="9"/>
  <c r="EH12" i="9"/>
  <c r="FH12" i="9"/>
  <c r="EW12" i="9"/>
  <c r="EX12" i="9"/>
  <c r="EG11" i="9"/>
  <c r="EH11" i="9"/>
  <c r="FH11" i="9"/>
  <c r="EW11" i="9"/>
  <c r="EX11" i="9"/>
  <c r="EG10" i="9"/>
  <c r="EH10" i="9"/>
  <c r="FH10" i="9"/>
  <c r="EW10" i="9"/>
  <c r="EX10" i="9"/>
  <c r="EG9" i="9"/>
  <c r="EH9" i="9"/>
  <c r="FH9" i="9"/>
  <c r="EW9" i="9"/>
  <c r="EX9" i="9"/>
  <c r="EG8" i="9"/>
  <c r="EH8" i="9"/>
  <c r="FH8" i="9"/>
  <c r="EW8" i="9"/>
  <c r="EX8" i="9"/>
  <c r="EG7" i="9"/>
  <c r="EH7" i="9"/>
  <c r="FH7" i="9"/>
  <c r="EW7" i="9"/>
  <c r="EX7" i="9"/>
  <c r="EG6" i="9"/>
  <c r="EH6" i="9"/>
  <c r="FH6" i="9"/>
  <c r="EW6" i="9"/>
  <c r="EX6" i="9"/>
  <c r="EG5" i="9"/>
  <c r="EH5" i="9"/>
  <c r="FH5" i="9"/>
  <c r="EW5" i="9"/>
  <c r="EX5" i="9"/>
  <c r="EH4" i="9"/>
  <c r="EG4" i="9"/>
  <c r="FH4" i="9"/>
  <c r="EX4" i="9"/>
  <c r="EW4" i="9"/>
  <c r="FH84" i="8"/>
  <c r="FI84" i="8"/>
  <c r="FJ84" i="8"/>
  <c r="FH83" i="8"/>
  <c r="FI83" i="8"/>
  <c r="FJ83" i="8"/>
  <c r="FH82" i="8"/>
  <c r="FI82" i="8"/>
  <c r="FJ82" i="8"/>
  <c r="FH81" i="8"/>
  <c r="FI81" i="8"/>
  <c r="FJ81" i="8"/>
  <c r="FH80" i="8"/>
  <c r="FI80" i="8"/>
  <c r="FJ80" i="8"/>
  <c r="FH79" i="8"/>
  <c r="FI79" i="8"/>
  <c r="FJ79" i="8"/>
  <c r="FH78" i="8"/>
  <c r="FI78" i="8"/>
  <c r="FJ78" i="8"/>
  <c r="FH77" i="8"/>
  <c r="FI77" i="8"/>
  <c r="FJ77" i="8"/>
  <c r="FH76" i="8"/>
  <c r="FI76" i="8"/>
  <c r="FJ76" i="8"/>
  <c r="FH75" i="8"/>
  <c r="FI75" i="8"/>
  <c r="FJ75" i="8"/>
  <c r="FH74" i="8"/>
  <c r="FI74" i="8"/>
  <c r="FJ74" i="8"/>
  <c r="FH73" i="8"/>
  <c r="FI73" i="8"/>
  <c r="FJ73" i="8"/>
  <c r="FH72" i="8"/>
  <c r="FI72" i="8"/>
  <c r="FJ72" i="8"/>
  <c r="FH71" i="8"/>
  <c r="FI71" i="8"/>
  <c r="FJ71" i="8"/>
  <c r="FH70" i="8"/>
  <c r="FI70" i="8"/>
  <c r="FJ70" i="8"/>
  <c r="FH69" i="8"/>
  <c r="FI69" i="8"/>
  <c r="FJ69" i="8"/>
  <c r="FH68" i="8"/>
  <c r="FI68" i="8"/>
  <c r="FJ68" i="8"/>
  <c r="FH67" i="8"/>
  <c r="FI67" i="8"/>
  <c r="FJ67" i="8"/>
  <c r="FH66" i="8"/>
  <c r="FI66" i="8"/>
  <c r="FJ66" i="8"/>
  <c r="FH65" i="8"/>
  <c r="FI65" i="8"/>
  <c r="FJ65" i="8"/>
  <c r="FH64" i="8"/>
  <c r="FI64" i="8"/>
  <c r="FJ64" i="8"/>
  <c r="FH63" i="8"/>
  <c r="FI63" i="8"/>
  <c r="FJ63" i="8"/>
  <c r="FH62" i="8"/>
  <c r="FI62" i="8"/>
  <c r="FJ62" i="8"/>
  <c r="FH61" i="8"/>
  <c r="FI61" i="8"/>
  <c r="FJ61" i="8"/>
  <c r="FH60" i="8"/>
  <c r="FI60" i="8"/>
  <c r="FJ60" i="8"/>
  <c r="FH59" i="8"/>
  <c r="FI59" i="8"/>
  <c r="FJ59" i="8"/>
  <c r="FH58" i="8"/>
  <c r="FI58" i="8"/>
  <c r="FJ58" i="8"/>
  <c r="FH57" i="8"/>
  <c r="FI57" i="8"/>
  <c r="FJ57" i="8"/>
  <c r="FH56" i="8"/>
  <c r="FI56" i="8"/>
  <c r="FJ56" i="8"/>
  <c r="FH55" i="8"/>
  <c r="FI55" i="8"/>
  <c r="FJ55" i="8"/>
  <c r="FH54" i="8"/>
  <c r="FI54" i="8"/>
  <c r="FJ54" i="8"/>
  <c r="FH53" i="8"/>
  <c r="FI53" i="8"/>
  <c r="FJ53" i="8"/>
  <c r="FH52" i="8"/>
  <c r="FI52" i="8"/>
  <c r="FJ52" i="8"/>
  <c r="FH51" i="8"/>
  <c r="FI51" i="8"/>
  <c r="FJ51" i="8"/>
  <c r="FH50" i="8"/>
  <c r="FI50" i="8"/>
  <c r="FJ50" i="8"/>
  <c r="FH49" i="8"/>
  <c r="FI49" i="8"/>
  <c r="FJ49" i="8"/>
  <c r="FH48" i="8"/>
  <c r="FI48" i="8"/>
  <c r="FJ48" i="8"/>
  <c r="FH47" i="8"/>
  <c r="FI47" i="8"/>
  <c r="FJ47" i="8"/>
  <c r="FH46" i="8"/>
  <c r="FI46" i="8"/>
  <c r="FJ46" i="8"/>
  <c r="FH45" i="8"/>
  <c r="FI45" i="8"/>
  <c r="FJ45" i="8"/>
  <c r="FH44" i="8"/>
  <c r="FI44" i="8"/>
  <c r="FJ44" i="8"/>
  <c r="FH43" i="8"/>
  <c r="FI43" i="8"/>
  <c r="FJ43" i="8"/>
  <c r="FH42" i="8"/>
  <c r="FI42" i="8"/>
  <c r="FJ42" i="8"/>
  <c r="FH41" i="8"/>
  <c r="FI41" i="8"/>
  <c r="FJ41" i="8"/>
  <c r="FH40" i="8"/>
  <c r="FI40" i="8"/>
  <c r="FJ40" i="8"/>
  <c r="FH39" i="8"/>
  <c r="FI39" i="8"/>
  <c r="FJ39" i="8"/>
  <c r="FH38" i="8"/>
  <c r="FI38" i="8"/>
  <c r="FJ38" i="8"/>
  <c r="FH37" i="8"/>
  <c r="FI37" i="8"/>
  <c r="FJ37" i="8"/>
  <c r="FH36" i="8"/>
  <c r="FI36" i="8"/>
  <c r="FJ36" i="8"/>
  <c r="FH35" i="8"/>
  <c r="FI35" i="8"/>
  <c r="FJ35" i="8"/>
  <c r="FH34" i="8"/>
  <c r="FI34" i="8"/>
  <c r="FJ34" i="8"/>
  <c r="FH33" i="8"/>
  <c r="FI33" i="8"/>
  <c r="FJ33" i="8"/>
  <c r="FH32" i="8"/>
  <c r="FI32" i="8"/>
  <c r="FJ32" i="8"/>
  <c r="FH31" i="8"/>
  <c r="FI31" i="8"/>
  <c r="FJ31" i="8"/>
  <c r="FH30" i="8"/>
  <c r="FI30" i="8"/>
  <c r="FJ30" i="8"/>
  <c r="FH29" i="8"/>
  <c r="FI29" i="8"/>
  <c r="FJ29" i="8"/>
  <c r="FH28" i="8"/>
  <c r="FI28" i="8"/>
  <c r="FJ28" i="8"/>
  <c r="FH27" i="8"/>
  <c r="FI27" i="8"/>
  <c r="FJ27" i="8"/>
  <c r="FH26" i="8"/>
  <c r="FI26" i="8"/>
  <c r="FJ26" i="8"/>
  <c r="FH25" i="8"/>
  <c r="FI25" i="8"/>
  <c r="FJ25" i="8"/>
  <c r="FH24" i="8"/>
  <c r="FI24" i="8"/>
  <c r="FJ24" i="8"/>
  <c r="FH23" i="8"/>
  <c r="FI23" i="8"/>
  <c r="FJ23" i="8"/>
  <c r="FH22" i="8"/>
  <c r="FI22" i="8"/>
  <c r="FJ22" i="8"/>
  <c r="FH21" i="8"/>
  <c r="FI21" i="8"/>
  <c r="FJ21" i="8"/>
  <c r="FH20" i="8"/>
  <c r="FI20" i="8"/>
  <c r="FJ20" i="8"/>
  <c r="FH19" i="8"/>
  <c r="FI19" i="8"/>
  <c r="FJ19" i="8"/>
  <c r="FH18" i="8"/>
  <c r="FI18" i="8"/>
  <c r="FJ18" i="8"/>
  <c r="FH17" i="8"/>
  <c r="FI17" i="8"/>
  <c r="FJ17" i="8"/>
  <c r="FH16" i="8"/>
  <c r="FI16" i="8"/>
  <c r="FJ16" i="8"/>
  <c r="FH15" i="8"/>
  <c r="FI15" i="8"/>
  <c r="FJ15" i="8"/>
  <c r="FH14" i="8"/>
  <c r="FI14" i="8"/>
  <c r="FJ14" i="8"/>
  <c r="FH13" i="8"/>
  <c r="FI13" i="8"/>
  <c r="FJ13" i="8"/>
  <c r="FH12" i="8"/>
  <c r="FI12" i="8"/>
  <c r="FJ12" i="8"/>
  <c r="FH11" i="8"/>
  <c r="FI11" i="8"/>
  <c r="FJ11" i="8"/>
  <c r="FH10" i="8"/>
  <c r="FI10" i="8"/>
  <c r="FJ10" i="8"/>
  <c r="FH9" i="8"/>
  <c r="FI9" i="8"/>
  <c r="FJ9" i="8"/>
  <c r="FH8" i="8"/>
  <c r="FI8" i="8"/>
  <c r="FJ8" i="8"/>
  <c r="FH7" i="8"/>
  <c r="FI7" i="8"/>
  <c r="FJ7" i="8"/>
  <c r="FH5" i="8"/>
  <c r="FI5" i="8"/>
  <c r="FJ5" i="8"/>
  <c r="FJ4" i="8"/>
  <c r="FI4" i="8"/>
  <c r="FH4" i="8"/>
  <c r="FH6" i="8"/>
  <c r="FI6" i="8"/>
  <c r="FJ6" i="8"/>
  <c r="EZ84" i="8"/>
  <c r="EU84" i="8"/>
  <c r="EZ83" i="8"/>
  <c r="EU83" i="8"/>
  <c r="EZ82" i="8"/>
  <c r="EU82" i="8"/>
  <c r="EZ81" i="8"/>
  <c r="EU81" i="8"/>
  <c r="EZ80" i="8"/>
  <c r="EU80" i="8"/>
  <c r="EZ79" i="8"/>
  <c r="EU79" i="8"/>
  <c r="EZ78" i="8"/>
  <c r="EU78" i="8"/>
  <c r="EZ77" i="8"/>
  <c r="EU77" i="8"/>
  <c r="EZ76" i="8"/>
  <c r="EU76" i="8"/>
  <c r="EZ75" i="8"/>
  <c r="EU75" i="8"/>
  <c r="EZ74" i="8"/>
  <c r="EU74" i="8"/>
  <c r="EZ73" i="8"/>
  <c r="EU73" i="8"/>
  <c r="EZ72" i="8"/>
  <c r="EU72" i="8"/>
  <c r="EZ71" i="8"/>
  <c r="EU71" i="8"/>
  <c r="EZ70" i="8"/>
  <c r="EU70" i="8"/>
  <c r="EZ69" i="8"/>
  <c r="EU69" i="8"/>
  <c r="EZ68" i="8"/>
  <c r="EU68" i="8"/>
  <c r="EZ67" i="8"/>
  <c r="EU67" i="8"/>
  <c r="EZ66" i="8"/>
  <c r="EU66" i="8"/>
  <c r="EZ65" i="8"/>
  <c r="EU65" i="8"/>
  <c r="EZ64" i="8"/>
  <c r="EU64" i="8"/>
  <c r="EZ63" i="8"/>
  <c r="EU63" i="8"/>
  <c r="EZ62" i="8"/>
  <c r="EU62" i="8"/>
  <c r="EZ61" i="8"/>
  <c r="EU61" i="8"/>
  <c r="EZ60" i="8"/>
  <c r="EU60" i="8"/>
  <c r="EZ59" i="8"/>
  <c r="EU59" i="8"/>
  <c r="EZ58" i="8"/>
  <c r="EU58" i="8"/>
  <c r="EZ57" i="8"/>
  <c r="EU57" i="8"/>
  <c r="EZ56" i="8"/>
  <c r="EU56" i="8"/>
  <c r="EZ55" i="8"/>
  <c r="EU55" i="8"/>
  <c r="EZ54" i="8"/>
  <c r="EU54" i="8"/>
  <c r="EZ53" i="8"/>
  <c r="EU53" i="8"/>
  <c r="EZ52" i="8"/>
  <c r="EU52" i="8"/>
  <c r="EZ51" i="8"/>
  <c r="EU51" i="8"/>
  <c r="EZ50" i="8"/>
  <c r="EU50" i="8"/>
  <c r="EZ49" i="8"/>
  <c r="EU49" i="8"/>
  <c r="EZ48" i="8"/>
  <c r="EU48" i="8"/>
  <c r="EZ47" i="8"/>
  <c r="EU47" i="8"/>
  <c r="EZ46" i="8"/>
  <c r="EU46" i="8"/>
  <c r="EZ45" i="8"/>
  <c r="EU45" i="8"/>
  <c r="EZ44" i="8"/>
  <c r="EU44" i="8"/>
  <c r="EZ43" i="8"/>
  <c r="EU43" i="8"/>
  <c r="EZ42" i="8"/>
  <c r="EU42" i="8"/>
  <c r="EZ41" i="8"/>
  <c r="EU41" i="8"/>
  <c r="EZ40" i="8"/>
  <c r="EU40" i="8"/>
  <c r="EZ39" i="8"/>
  <c r="EU39" i="8"/>
  <c r="EZ38" i="8"/>
  <c r="EU38" i="8"/>
  <c r="EZ37" i="8"/>
  <c r="EU37" i="8"/>
  <c r="EZ36" i="8"/>
  <c r="EU36" i="8"/>
  <c r="EZ35" i="8"/>
  <c r="EU35" i="8"/>
  <c r="EZ34" i="8"/>
  <c r="EU34" i="8"/>
  <c r="EZ33" i="8"/>
  <c r="EU33" i="8"/>
  <c r="EZ32" i="8"/>
  <c r="EU32" i="8"/>
  <c r="EZ31" i="8"/>
  <c r="EU31" i="8"/>
  <c r="EZ30" i="8"/>
  <c r="EU30" i="8"/>
  <c r="EZ29" i="8"/>
  <c r="EU29" i="8"/>
  <c r="EZ28" i="8"/>
  <c r="EU28" i="8"/>
  <c r="EZ27" i="8"/>
  <c r="EU27" i="8"/>
  <c r="EZ26" i="8"/>
  <c r="EU26" i="8"/>
  <c r="EZ25" i="8"/>
  <c r="EU25" i="8"/>
  <c r="EZ24" i="8"/>
  <c r="EU24" i="8"/>
  <c r="EZ23" i="8"/>
  <c r="EU23" i="8"/>
  <c r="EZ22" i="8"/>
  <c r="EU22" i="8"/>
  <c r="EZ21" i="8"/>
  <c r="EU21" i="8"/>
  <c r="EZ20" i="8"/>
  <c r="EU20" i="8"/>
  <c r="EZ19" i="8"/>
  <c r="EU19" i="8"/>
  <c r="EZ18" i="8"/>
  <c r="EU18" i="8"/>
  <c r="EZ17" i="8"/>
  <c r="EU17" i="8"/>
  <c r="EZ16" i="8"/>
  <c r="EU16" i="8"/>
  <c r="EZ15" i="8"/>
  <c r="EU15" i="8"/>
  <c r="EZ14" i="8"/>
  <c r="EU14" i="8"/>
  <c r="EZ13" i="8"/>
  <c r="EU13" i="8"/>
  <c r="EZ12" i="8"/>
  <c r="EU12" i="8"/>
  <c r="EZ11" i="8"/>
  <c r="EU11" i="8"/>
  <c r="EZ10" i="8"/>
  <c r="EU10" i="8"/>
  <c r="EZ9" i="8"/>
  <c r="EU9" i="8"/>
  <c r="EZ8" i="8"/>
  <c r="EU8" i="8"/>
  <c r="EZ7" i="8"/>
  <c r="EU7" i="8"/>
  <c r="EZ5" i="8"/>
  <c r="EU5" i="8"/>
  <c r="EZ4" i="8"/>
  <c r="EU4" i="8"/>
  <c r="EZ6" i="8"/>
  <c r="EU6" i="8"/>
  <c r="FE84" i="9"/>
  <c r="FE83" i="9"/>
  <c r="FE82" i="9"/>
  <c r="FE81" i="9"/>
  <c r="FE80" i="9"/>
  <c r="FE79" i="9"/>
  <c r="FE78" i="9"/>
  <c r="FE77" i="9"/>
  <c r="FE76" i="9"/>
  <c r="FE75" i="9"/>
  <c r="FE74" i="9"/>
  <c r="FE73" i="9"/>
  <c r="FE72" i="9"/>
  <c r="FE71" i="9"/>
  <c r="FE70" i="9"/>
  <c r="FE69" i="9"/>
  <c r="FE68" i="9"/>
  <c r="FE67" i="9"/>
  <c r="FE66" i="9"/>
  <c r="FE65" i="9"/>
  <c r="FE64" i="9"/>
  <c r="FE63" i="9"/>
  <c r="FE62" i="9"/>
  <c r="FE61" i="9"/>
  <c r="FE60" i="9"/>
  <c r="FE59" i="9"/>
  <c r="FE58" i="9"/>
  <c r="FE57" i="9"/>
  <c r="FE56" i="9"/>
  <c r="FE55" i="9"/>
  <c r="FE54" i="9"/>
  <c r="FE53" i="9"/>
  <c r="FE52" i="9"/>
  <c r="FE51" i="9"/>
  <c r="FE50" i="9"/>
  <c r="FE49" i="9"/>
  <c r="FE48" i="9"/>
  <c r="FE47" i="9"/>
  <c r="FE46" i="9"/>
  <c r="FE45" i="9"/>
  <c r="FE44" i="9"/>
  <c r="FE43" i="9"/>
  <c r="FE42" i="9"/>
  <c r="FE41" i="9"/>
  <c r="FE40" i="9"/>
  <c r="FE39" i="9"/>
  <c r="FE38" i="9"/>
  <c r="FE37" i="9"/>
  <c r="FE36" i="9"/>
  <c r="FE35" i="9"/>
  <c r="FE34" i="9"/>
  <c r="FE33" i="9"/>
  <c r="FE32" i="9"/>
  <c r="FE31" i="9"/>
  <c r="FE30" i="9"/>
  <c r="FE29" i="9"/>
  <c r="FE28" i="9"/>
  <c r="FE27" i="9"/>
  <c r="FE26" i="9"/>
  <c r="FE25" i="9"/>
  <c r="FE24" i="9"/>
  <c r="FE23" i="9"/>
  <c r="FE22" i="9"/>
  <c r="FE21" i="9"/>
  <c r="FE20" i="9"/>
  <c r="FE19" i="9"/>
  <c r="FE18" i="9"/>
  <c r="FE17" i="9"/>
  <c r="FE16" i="9"/>
  <c r="FE15" i="9"/>
  <c r="FE14" i="9"/>
  <c r="FE13" i="9"/>
  <c r="FE12" i="9"/>
  <c r="FE11" i="9"/>
  <c r="FE10" i="9"/>
  <c r="FE9" i="9"/>
  <c r="FE8" i="9"/>
  <c r="FE7" i="9"/>
  <c r="FE6" i="9"/>
  <c r="FE5" i="9"/>
  <c r="FE4" i="9"/>
  <c r="EY84" i="9"/>
  <c r="EY83" i="9"/>
  <c r="EY82" i="9"/>
  <c r="EY81" i="9"/>
  <c r="EY80" i="9"/>
  <c r="EY79" i="9"/>
  <c r="EY78" i="9"/>
  <c r="EY77" i="9"/>
  <c r="EY76" i="9"/>
  <c r="EY75" i="9"/>
  <c r="EY74" i="9"/>
  <c r="EY73" i="9"/>
  <c r="EY72" i="9"/>
  <c r="EY71" i="9"/>
  <c r="EY70" i="9"/>
  <c r="EY69" i="9"/>
  <c r="EY68" i="9"/>
  <c r="EY67" i="9"/>
  <c r="EY66" i="9"/>
  <c r="EY65" i="9"/>
  <c r="EY64" i="9"/>
  <c r="EY63" i="9"/>
  <c r="EY62" i="9"/>
  <c r="EY61" i="9"/>
  <c r="EY60" i="9"/>
  <c r="EY59" i="9"/>
  <c r="EY58" i="9"/>
  <c r="EY57" i="9"/>
  <c r="EY56" i="9"/>
  <c r="EY55" i="9"/>
  <c r="EY54" i="9"/>
  <c r="EY53" i="9"/>
  <c r="EY52" i="9"/>
  <c r="EY51" i="9"/>
  <c r="EY50" i="9"/>
  <c r="EY49" i="9"/>
  <c r="EY48" i="9"/>
  <c r="EY47" i="9"/>
  <c r="EY46" i="9"/>
  <c r="EY45" i="9"/>
  <c r="EY44" i="9"/>
  <c r="EY43" i="9"/>
  <c r="EY42" i="9"/>
  <c r="EY41" i="9"/>
  <c r="EY40" i="9"/>
  <c r="EY39" i="9"/>
  <c r="EY38" i="9"/>
  <c r="EY37" i="9"/>
  <c r="EY36" i="9"/>
  <c r="EY35" i="9"/>
  <c r="EY34" i="9"/>
  <c r="EY33" i="9"/>
  <c r="EY32" i="9"/>
  <c r="EY31" i="9"/>
  <c r="EY30" i="9"/>
  <c r="EY29" i="9"/>
  <c r="EY28" i="9"/>
  <c r="EY27" i="9"/>
  <c r="EY26" i="9"/>
  <c r="EY25" i="9"/>
  <c r="EY24" i="9"/>
  <c r="EY23" i="9"/>
  <c r="EY22" i="9"/>
  <c r="EY21" i="9"/>
  <c r="EY20" i="9"/>
  <c r="EY19" i="9"/>
  <c r="EY18" i="9"/>
  <c r="EY17" i="9"/>
  <c r="EY16" i="9"/>
  <c r="EY15" i="9"/>
  <c r="EY14" i="9"/>
  <c r="EY13" i="9"/>
  <c r="EY12" i="9"/>
  <c r="EY11" i="9"/>
  <c r="EY10" i="9"/>
  <c r="EY9" i="9"/>
  <c r="EY8" i="9"/>
  <c r="EY7" i="9"/>
  <c r="EY6" i="9"/>
  <c r="EY5" i="9"/>
  <c r="EY4" i="9"/>
  <c r="ET84" i="9"/>
  <c r="ET83" i="9"/>
  <c r="ET82" i="9"/>
  <c r="ET81" i="9"/>
  <c r="ET80" i="9"/>
  <c r="ET79" i="9"/>
  <c r="ET78" i="9"/>
  <c r="ET77" i="9"/>
  <c r="ET76" i="9"/>
  <c r="ET75" i="9"/>
  <c r="ET74" i="9"/>
  <c r="ET73" i="9"/>
  <c r="ET72" i="9"/>
  <c r="ET71" i="9"/>
  <c r="ET70" i="9"/>
  <c r="ET69" i="9"/>
  <c r="ET68" i="9"/>
  <c r="ET67" i="9"/>
  <c r="ET66" i="9"/>
  <c r="ET65" i="9"/>
  <c r="ET64" i="9"/>
  <c r="ET63" i="9"/>
  <c r="ET62" i="9"/>
  <c r="ET61" i="9"/>
  <c r="ET60" i="9"/>
  <c r="ET59" i="9"/>
  <c r="ET58" i="9"/>
  <c r="ET57" i="9"/>
  <c r="ET56" i="9"/>
  <c r="ET55" i="9"/>
  <c r="ET54" i="9"/>
  <c r="ET53" i="9"/>
  <c r="ET52" i="9"/>
  <c r="ET51" i="9"/>
  <c r="ET50" i="9"/>
  <c r="ET49" i="9"/>
  <c r="ET48" i="9"/>
  <c r="ET47" i="9"/>
  <c r="ET46" i="9"/>
  <c r="ET45" i="9"/>
  <c r="ET44" i="9"/>
  <c r="ET43" i="9"/>
  <c r="ET42" i="9"/>
  <c r="ET41" i="9"/>
  <c r="ET40" i="9"/>
  <c r="ET39" i="9"/>
  <c r="ET38" i="9"/>
  <c r="ET37" i="9"/>
  <c r="ET36" i="9"/>
  <c r="ET35" i="9"/>
  <c r="ET34" i="9"/>
  <c r="ET33" i="9"/>
  <c r="ET32" i="9"/>
  <c r="ET31" i="9"/>
  <c r="ET30" i="9"/>
  <c r="ET29" i="9"/>
  <c r="ET28" i="9"/>
  <c r="ET27" i="9"/>
  <c r="ET26" i="9"/>
  <c r="ET25" i="9"/>
  <c r="ET24" i="9"/>
  <c r="ET23" i="9"/>
  <c r="ET22" i="9"/>
  <c r="ET21" i="9"/>
  <c r="ET20" i="9"/>
  <c r="ET19" i="9"/>
  <c r="ET18" i="9"/>
  <c r="ET17" i="9"/>
  <c r="ET16" i="9"/>
  <c r="ET15" i="9"/>
  <c r="ET14" i="9"/>
  <c r="ET13" i="9"/>
  <c r="ET12" i="9"/>
  <c r="ET11" i="9"/>
  <c r="ET10" i="9"/>
  <c r="ET9" i="9"/>
  <c r="ET8" i="9"/>
  <c r="ET7" i="9"/>
  <c r="ET6" i="9"/>
  <c r="ET5" i="9"/>
  <c r="ET4" i="9"/>
  <c r="EK84" i="8"/>
  <c r="EN84" i="8"/>
  <c r="EO84" i="8"/>
  <c r="EP84" i="8"/>
  <c r="EB84" i="8"/>
  <c r="ED84" i="8"/>
  <c r="EK83" i="8"/>
  <c r="EN83" i="8"/>
  <c r="EO83" i="8"/>
  <c r="EP83" i="8"/>
  <c r="EB83" i="8"/>
  <c r="ED83" i="8"/>
  <c r="EK82" i="8"/>
  <c r="EN82" i="8"/>
  <c r="EO82" i="8"/>
  <c r="EP82" i="8"/>
  <c r="EB82" i="8"/>
  <c r="ED82" i="8"/>
  <c r="EK81" i="8"/>
  <c r="EN81" i="8"/>
  <c r="EO81" i="8"/>
  <c r="EP81" i="8"/>
  <c r="EB81" i="8"/>
  <c r="ED81" i="8"/>
  <c r="EK80" i="8"/>
  <c r="EN80" i="8"/>
  <c r="EO80" i="8"/>
  <c r="EP80" i="8"/>
  <c r="EB80" i="8"/>
  <c r="ED80" i="8"/>
  <c r="EK79" i="8"/>
  <c r="EN79" i="8"/>
  <c r="EO79" i="8"/>
  <c r="EP79" i="8"/>
  <c r="EB79" i="8"/>
  <c r="ED79" i="8"/>
  <c r="EK78" i="8"/>
  <c r="EN78" i="8"/>
  <c r="EO78" i="8"/>
  <c r="EP78" i="8"/>
  <c r="EB78" i="8"/>
  <c r="ED78" i="8"/>
  <c r="EK77" i="8"/>
  <c r="EN77" i="8"/>
  <c r="EO77" i="8"/>
  <c r="EP77" i="8"/>
  <c r="EB77" i="8"/>
  <c r="ED77" i="8"/>
  <c r="EK76" i="8"/>
  <c r="EN76" i="8"/>
  <c r="EO76" i="8"/>
  <c r="EP76" i="8"/>
  <c r="EB76" i="8"/>
  <c r="ED76" i="8"/>
  <c r="EK75" i="8"/>
  <c r="EN75" i="8"/>
  <c r="EO75" i="8"/>
  <c r="EP75" i="8"/>
  <c r="EB75" i="8"/>
  <c r="ED75" i="8"/>
  <c r="EK74" i="8"/>
  <c r="EN74" i="8"/>
  <c r="EO74" i="8"/>
  <c r="EP74" i="8"/>
  <c r="EB74" i="8"/>
  <c r="ED74" i="8"/>
  <c r="EK73" i="8"/>
  <c r="EN73" i="8"/>
  <c r="EO73" i="8"/>
  <c r="EP73" i="8"/>
  <c r="EB73" i="8"/>
  <c r="ED73" i="8"/>
  <c r="EK72" i="8"/>
  <c r="EN72" i="8"/>
  <c r="EO72" i="8"/>
  <c r="EP72" i="8"/>
  <c r="EB72" i="8"/>
  <c r="ED72" i="8"/>
  <c r="EK71" i="8"/>
  <c r="EN71" i="8"/>
  <c r="EO71" i="8"/>
  <c r="EP71" i="8"/>
  <c r="EB71" i="8"/>
  <c r="ED71" i="8"/>
  <c r="EK70" i="8"/>
  <c r="EN70" i="8"/>
  <c r="EO70" i="8"/>
  <c r="EP70" i="8"/>
  <c r="EB70" i="8"/>
  <c r="ED70" i="8"/>
  <c r="EK69" i="8"/>
  <c r="EN69" i="8"/>
  <c r="EO69" i="8"/>
  <c r="EP69" i="8"/>
  <c r="EB69" i="8"/>
  <c r="ED69" i="8"/>
  <c r="EK68" i="8"/>
  <c r="EN68" i="8"/>
  <c r="EP68" i="8"/>
  <c r="EB68" i="8"/>
  <c r="ED68" i="8"/>
  <c r="EK67" i="8"/>
  <c r="EN67" i="8"/>
  <c r="EO67" i="8"/>
  <c r="EP67" i="8"/>
  <c r="EB67" i="8"/>
  <c r="ED67" i="8"/>
  <c r="EK66" i="8"/>
  <c r="EN66" i="8"/>
  <c r="EO66" i="8"/>
  <c r="EP66" i="8"/>
  <c r="EB66" i="8"/>
  <c r="ED66" i="8"/>
  <c r="EK65" i="8"/>
  <c r="EN65" i="8"/>
  <c r="EO65" i="8"/>
  <c r="EP65" i="8"/>
  <c r="EB65" i="8"/>
  <c r="ED65" i="8"/>
  <c r="EK64" i="8"/>
  <c r="EN64" i="8"/>
  <c r="EO64" i="8"/>
  <c r="EP64" i="8"/>
  <c r="EB64" i="8"/>
  <c r="ED64" i="8"/>
  <c r="EK63" i="8"/>
  <c r="EN63" i="8"/>
  <c r="EO63" i="8"/>
  <c r="EP63" i="8"/>
  <c r="EB63" i="8"/>
  <c r="ED63" i="8"/>
  <c r="EK62" i="8"/>
  <c r="EN62" i="8"/>
  <c r="EO62" i="8"/>
  <c r="EP62" i="8"/>
  <c r="EB62" i="8"/>
  <c r="ED62" i="8"/>
  <c r="EK61" i="8"/>
  <c r="EN61" i="8"/>
  <c r="EO61" i="8"/>
  <c r="EP61" i="8"/>
  <c r="EB61" i="8"/>
  <c r="ED61" i="8"/>
  <c r="EK60" i="8"/>
  <c r="EN60" i="8"/>
  <c r="EO60" i="8"/>
  <c r="EP60" i="8"/>
  <c r="EB60" i="8"/>
  <c r="ED60" i="8"/>
  <c r="EK59" i="8"/>
  <c r="EN59" i="8"/>
  <c r="EO59" i="8"/>
  <c r="EP59" i="8"/>
  <c r="EB59" i="8"/>
  <c r="ED59" i="8"/>
  <c r="EK58" i="8"/>
  <c r="EN58" i="8"/>
  <c r="EO58" i="8"/>
  <c r="EP58" i="8"/>
  <c r="EB58" i="8"/>
  <c r="ED58" i="8"/>
  <c r="EK57" i="8"/>
  <c r="EN57" i="8"/>
  <c r="EO57" i="8"/>
  <c r="EP57" i="8"/>
  <c r="EB57" i="8"/>
  <c r="ED57" i="8"/>
  <c r="EK56" i="8"/>
  <c r="EN56" i="8"/>
  <c r="EO56" i="8"/>
  <c r="EP56" i="8"/>
  <c r="EB56" i="8"/>
  <c r="ED56" i="8"/>
  <c r="EK55" i="8"/>
  <c r="EN55" i="8"/>
  <c r="EO55" i="8"/>
  <c r="EP55" i="8"/>
  <c r="EB55" i="8"/>
  <c r="ED55" i="8"/>
  <c r="EK54" i="8"/>
  <c r="EN54" i="8"/>
  <c r="EO54" i="8"/>
  <c r="EP54" i="8"/>
  <c r="EB54" i="8"/>
  <c r="ED54" i="8"/>
  <c r="EK53" i="8"/>
  <c r="EN53" i="8"/>
  <c r="EO53" i="8"/>
  <c r="EP53" i="8"/>
  <c r="EB53" i="8"/>
  <c r="ED53" i="8"/>
  <c r="EK52" i="8"/>
  <c r="EN52" i="8"/>
  <c r="EO52" i="8"/>
  <c r="EP52" i="8"/>
  <c r="EB52" i="8"/>
  <c r="ED52" i="8"/>
  <c r="EK51" i="8"/>
  <c r="EN51" i="8"/>
  <c r="EO51" i="8"/>
  <c r="EP51" i="8"/>
  <c r="EB51" i="8"/>
  <c r="ED51" i="8"/>
  <c r="EK50" i="8"/>
  <c r="EN50" i="8"/>
  <c r="EO50" i="8"/>
  <c r="EP50" i="8"/>
  <c r="EB50" i="8"/>
  <c r="ED50" i="8"/>
  <c r="EK49" i="8"/>
  <c r="EN49" i="8"/>
  <c r="EO49" i="8"/>
  <c r="EP49" i="8"/>
  <c r="EB49" i="8"/>
  <c r="ED49" i="8"/>
  <c r="EK48" i="8"/>
  <c r="EN48" i="8"/>
  <c r="EO48" i="8"/>
  <c r="EP48" i="8"/>
  <c r="EB48" i="8"/>
  <c r="ED48" i="8"/>
  <c r="EK47" i="8"/>
  <c r="EN47" i="8"/>
  <c r="EO47" i="8"/>
  <c r="EP47" i="8"/>
  <c r="EB47" i="8"/>
  <c r="ED47" i="8"/>
  <c r="EK46" i="8"/>
  <c r="EN46" i="8"/>
  <c r="EO46" i="8"/>
  <c r="EP46" i="8"/>
  <c r="EB46" i="8"/>
  <c r="ED46" i="8"/>
  <c r="EK45" i="8"/>
  <c r="EN45" i="8"/>
  <c r="EO45" i="8"/>
  <c r="EP45" i="8"/>
  <c r="EB45" i="8"/>
  <c r="ED45" i="8"/>
  <c r="EK44" i="8"/>
  <c r="EN44" i="8"/>
  <c r="EO44" i="8"/>
  <c r="EP44" i="8"/>
  <c r="EB44" i="8"/>
  <c r="ED44" i="8"/>
  <c r="EK43" i="8"/>
  <c r="EN43" i="8"/>
  <c r="EO43" i="8"/>
  <c r="EP43" i="8"/>
  <c r="EB43" i="8"/>
  <c r="ED43" i="8"/>
  <c r="EK42" i="8"/>
  <c r="EN42" i="8"/>
  <c r="EO42" i="8"/>
  <c r="EP42" i="8"/>
  <c r="EB42" i="8"/>
  <c r="ED42" i="8"/>
  <c r="EK41" i="8"/>
  <c r="EN41" i="8"/>
  <c r="EO41" i="8"/>
  <c r="EP41" i="8"/>
  <c r="EB41" i="8"/>
  <c r="ED41" i="8"/>
  <c r="EK40" i="8"/>
  <c r="EN40" i="8"/>
  <c r="EO40" i="8"/>
  <c r="EP40" i="8"/>
  <c r="EB40" i="8"/>
  <c r="ED40" i="8"/>
  <c r="EK39" i="8"/>
  <c r="EN39" i="8"/>
  <c r="EO39" i="8"/>
  <c r="EP39" i="8"/>
  <c r="EB39" i="8"/>
  <c r="ED39" i="8"/>
  <c r="EK38" i="8"/>
  <c r="EN38" i="8"/>
  <c r="EO38" i="8"/>
  <c r="EP38" i="8"/>
  <c r="EB38" i="8"/>
  <c r="ED38" i="8"/>
  <c r="EK37" i="8"/>
  <c r="EN37" i="8"/>
  <c r="EO37" i="8"/>
  <c r="EP37" i="8"/>
  <c r="EB37" i="8"/>
  <c r="ED37" i="8"/>
  <c r="EK36" i="8"/>
  <c r="EN36" i="8"/>
  <c r="EO36" i="8"/>
  <c r="EP36" i="8"/>
  <c r="EB36" i="8"/>
  <c r="ED36" i="8"/>
  <c r="EK35" i="8"/>
  <c r="EN35" i="8"/>
  <c r="EO35" i="8"/>
  <c r="EP35" i="8"/>
  <c r="EB35" i="8"/>
  <c r="ED35" i="8"/>
  <c r="EK34" i="8"/>
  <c r="EN34" i="8"/>
  <c r="EO34" i="8"/>
  <c r="EP34" i="8"/>
  <c r="EB34" i="8"/>
  <c r="ED34" i="8"/>
  <c r="EK33" i="8"/>
  <c r="EN33" i="8"/>
  <c r="EO33" i="8"/>
  <c r="EP33" i="8"/>
  <c r="EB33" i="8"/>
  <c r="ED33" i="8"/>
  <c r="EK32" i="8"/>
  <c r="EN32" i="8"/>
  <c r="EO32" i="8"/>
  <c r="EP32" i="8"/>
  <c r="EB32" i="8"/>
  <c r="ED32" i="8"/>
  <c r="EK31" i="8"/>
  <c r="EN31" i="8"/>
  <c r="EO31" i="8"/>
  <c r="EP31" i="8"/>
  <c r="EB31" i="8"/>
  <c r="ED31" i="8"/>
  <c r="EK30" i="8"/>
  <c r="EN30" i="8"/>
  <c r="EO30" i="8"/>
  <c r="EP30" i="8"/>
  <c r="EB30" i="8"/>
  <c r="ED30" i="8"/>
  <c r="EK29" i="8"/>
  <c r="EN29" i="8"/>
  <c r="EO29" i="8"/>
  <c r="EP29" i="8"/>
  <c r="EB29" i="8"/>
  <c r="ED29" i="8"/>
  <c r="EK28" i="8"/>
  <c r="EN28" i="8"/>
  <c r="EO28" i="8"/>
  <c r="EP28" i="8"/>
  <c r="EB28" i="8"/>
  <c r="ED28" i="8"/>
  <c r="EK27" i="8"/>
  <c r="EN27" i="8"/>
  <c r="EO27" i="8"/>
  <c r="EP27" i="8"/>
  <c r="EB27" i="8"/>
  <c r="ED27" i="8"/>
  <c r="EK26" i="8"/>
  <c r="EN26" i="8"/>
  <c r="EO26" i="8"/>
  <c r="EP26" i="8"/>
  <c r="EB26" i="8"/>
  <c r="ED26" i="8"/>
  <c r="EK25" i="8"/>
  <c r="EN25" i="8"/>
  <c r="EO25" i="8"/>
  <c r="EP25" i="8"/>
  <c r="EB25" i="8"/>
  <c r="ED25" i="8"/>
  <c r="EK24" i="8"/>
  <c r="EN24" i="8"/>
  <c r="EO24" i="8"/>
  <c r="EP24" i="8"/>
  <c r="EB24" i="8"/>
  <c r="ED24" i="8"/>
  <c r="EK23" i="8"/>
  <c r="EN23" i="8"/>
  <c r="EO23" i="8"/>
  <c r="EP23" i="8"/>
  <c r="EB23" i="8"/>
  <c r="ED23" i="8"/>
  <c r="EK22" i="8"/>
  <c r="EN22" i="8"/>
  <c r="EO22" i="8"/>
  <c r="EP22" i="8"/>
  <c r="EB22" i="8"/>
  <c r="ED22" i="8"/>
  <c r="EK21" i="8"/>
  <c r="EN21" i="8"/>
  <c r="EO21" i="8"/>
  <c r="EP21" i="8"/>
  <c r="EB21" i="8"/>
  <c r="ED21" i="8"/>
  <c r="EK20" i="8"/>
  <c r="EN20" i="8"/>
  <c r="EO20" i="8"/>
  <c r="EP20" i="8"/>
  <c r="EB20" i="8"/>
  <c r="ED20" i="8"/>
  <c r="EK19" i="8"/>
  <c r="EN19" i="8"/>
  <c r="EO19" i="8"/>
  <c r="EP19" i="8"/>
  <c r="EB19" i="8"/>
  <c r="ED19" i="8"/>
  <c r="EK18" i="8"/>
  <c r="EN18" i="8"/>
  <c r="EO18" i="8"/>
  <c r="EP18" i="8"/>
  <c r="EB18" i="8"/>
  <c r="ED18" i="8"/>
  <c r="EK17" i="8"/>
  <c r="EN17" i="8"/>
  <c r="EO17" i="8"/>
  <c r="EP17" i="8"/>
  <c r="EB17" i="8"/>
  <c r="ED17" i="8"/>
  <c r="EK16" i="8"/>
  <c r="EN16" i="8"/>
  <c r="EO16" i="8"/>
  <c r="EP16" i="8"/>
  <c r="EB16" i="8"/>
  <c r="ED16" i="8"/>
  <c r="EK15" i="8"/>
  <c r="EN15" i="8"/>
  <c r="EO15" i="8"/>
  <c r="EP15" i="8"/>
  <c r="EB15" i="8"/>
  <c r="ED15" i="8"/>
  <c r="EK14" i="8"/>
  <c r="EN14" i="8"/>
  <c r="EO14" i="8"/>
  <c r="EP14" i="8"/>
  <c r="EB14" i="8"/>
  <c r="ED14" i="8"/>
  <c r="EK13" i="8"/>
  <c r="EN13" i="8"/>
  <c r="EO13" i="8"/>
  <c r="EP13" i="8"/>
  <c r="EB13" i="8"/>
  <c r="ED13" i="8"/>
  <c r="EK12" i="8"/>
  <c r="EN12" i="8"/>
  <c r="EO12" i="8"/>
  <c r="EP12" i="8"/>
  <c r="EB12" i="8"/>
  <c r="ED12" i="8"/>
  <c r="EK11" i="8"/>
  <c r="EN11" i="8"/>
  <c r="EO11" i="8"/>
  <c r="EP11" i="8"/>
  <c r="EB11" i="8"/>
  <c r="ED11" i="8"/>
  <c r="EK10" i="8"/>
  <c r="EN10" i="8"/>
  <c r="EO10" i="8"/>
  <c r="EP10" i="8"/>
  <c r="EB10" i="8"/>
  <c r="ED10" i="8"/>
  <c r="EK9" i="8"/>
  <c r="EN9" i="8"/>
  <c r="EO9" i="8"/>
  <c r="EP9" i="8"/>
  <c r="EB9" i="8"/>
  <c r="ED9" i="8"/>
  <c r="EK8" i="8"/>
  <c r="EN8" i="8"/>
  <c r="EO8" i="8"/>
  <c r="EP8" i="8"/>
  <c r="EB8" i="8"/>
  <c r="ED8" i="8"/>
  <c r="EK7" i="8"/>
  <c r="EN7" i="8"/>
  <c r="EO7" i="8"/>
  <c r="EP7" i="8"/>
  <c r="EB7" i="8"/>
  <c r="ED7" i="8"/>
  <c r="EK5" i="8"/>
  <c r="EN5" i="8"/>
  <c r="EO5" i="8"/>
  <c r="EP5" i="8"/>
  <c r="EB5" i="8"/>
  <c r="ED5" i="8"/>
  <c r="EP4" i="8"/>
  <c r="EO4" i="8"/>
  <c r="EN4" i="8"/>
  <c r="EK4" i="8"/>
  <c r="FG4" i="8" s="1"/>
  <c r="ED4" i="8"/>
  <c r="EB4" i="8"/>
  <c r="EE4" i="8"/>
  <c r="EE84" i="8"/>
  <c r="EE83" i="8"/>
  <c r="EE82" i="8"/>
  <c r="EE81" i="8"/>
  <c r="EE80" i="8"/>
  <c r="EE79" i="8"/>
  <c r="EE78" i="8"/>
  <c r="EE77" i="8"/>
  <c r="EE76" i="8"/>
  <c r="EE75" i="8"/>
  <c r="EE74" i="8"/>
  <c r="EE73" i="8"/>
  <c r="EE72" i="8"/>
  <c r="EE71" i="8"/>
  <c r="EE70" i="8"/>
  <c r="EE69" i="8"/>
  <c r="EE68" i="8"/>
  <c r="EE67" i="8"/>
  <c r="EE66" i="8"/>
  <c r="EE65" i="8"/>
  <c r="EE64" i="8"/>
  <c r="EE63" i="8"/>
  <c r="EE62" i="8"/>
  <c r="EE61" i="8"/>
  <c r="EE60" i="8"/>
  <c r="EE59" i="8"/>
  <c r="EE58" i="8"/>
  <c r="EE57" i="8"/>
  <c r="EE56" i="8"/>
  <c r="EE55" i="8"/>
  <c r="EE54" i="8"/>
  <c r="EE53" i="8"/>
  <c r="EE52" i="8"/>
  <c r="EE51" i="8"/>
  <c r="EE50" i="8"/>
  <c r="EE49" i="8"/>
  <c r="EE48" i="8"/>
  <c r="EE47" i="8"/>
  <c r="EE46" i="8"/>
  <c r="EE45" i="8"/>
  <c r="EE44" i="8"/>
  <c r="EE43" i="8"/>
  <c r="EE42" i="8"/>
  <c r="EE41" i="8"/>
  <c r="EE40" i="8"/>
  <c r="EE39" i="8"/>
  <c r="EE38" i="8"/>
  <c r="EE37" i="8"/>
  <c r="EE36" i="8"/>
  <c r="EE35" i="8"/>
  <c r="EE34" i="8"/>
  <c r="EE33" i="8"/>
  <c r="EE32" i="8"/>
  <c r="EE31" i="8"/>
  <c r="EE30" i="8"/>
  <c r="EE29" i="8"/>
  <c r="EE28" i="8"/>
  <c r="EE27" i="8"/>
  <c r="EE26" i="8"/>
  <c r="EE25" i="8"/>
  <c r="EE24" i="8"/>
  <c r="EE23" i="8"/>
  <c r="EE22" i="8"/>
  <c r="EE21" i="8"/>
  <c r="EE20" i="8"/>
  <c r="EE19" i="8"/>
  <c r="EE18" i="8"/>
  <c r="EE17" i="8"/>
  <c r="EE16" i="8"/>
  <c r="EE15" i="8"/>
  <c r="EE14" i="8"/>
  <c r="EE13" i="8"/>
  <c r="EE12" i="8"/>
  <c r="EE11" i="8"/>
  <c r="EE10" i="8"/>
  <c r="EE9" i="8"/>
  <c r="EE8" i="8"/>
  <c r="EE7" i="8"/>
  <c r="EE5" i="8"/>
  <c r="EK6" i="8"/>
  <c r="EN6" i="8"/>
  <c r="EO6" i="8"/>
  <c r="EP6" i="8"/>
  <c r="EB6" i="8"/>
  <c r="ED6" i="8"/>
  <c r="DS84" i="8"/>
  <c r="CX84" i="8"/>
  <c r="CZ84" i="8"/>
  <c r="DB84" i="8"/>
  <c r="CK84" i="8"/>
  <c r="CL84" i="8"/>
  <c r="CM84" i="8"/>
  <c r="CO84" i="8"/>
  <c r="DS83" i="8"/>
  <c r="CX83" i="8"/>
  <c r="CZ83" i="8"/>
  <c r="DB83" i="8"/>
  <c r="CK83" i="8"/>
  <c r="CL83" i="8"/>
  <c r="CM83" i="8"/>
  <c r="CO83" i="8"/>
  <c r="DS82" i="8"/>
  <c r="CX82" i="8"/>
  <c r="CZ82" i="8"/>
  <c r="DB82" i="8"/>
  <c r="CK82" i="8"/>
  <c r="CL82" i="8"/>
  <c r="CM82" i="8"/>
  <c r="CO82" i="8"/>
  <c r="DS81" i="8"/>
  <c r="CX81" i="8"/>
  <c r="CZ81" i="8"/>
  <c r="DB81" i="8"/>
  <c r="CK81" i="8"/>
  <c r="CL81" i="8"/>
  <c r="CM81" i="8"/>
  <c r="CO81" i="8"/>
  <c r="DS80" i="8"/>
  <c r="CX80" i="8"/>
  <c r="CZ80" i="8"/>
  <c r="DB80" i="8"/>
  <c r="CK80" i="8"/>
  <c r="CL80" i="8"/>
  <c r="CM80" i="8"/>
  <c r="CO80" i="8"/>
  <c r="DS79" i="8"/>
  <c r="CX79" i="8"/>
  <c r="CZ79" i="8"/>
  <c r="DB79" i="8"/>
  <c r="CK79" i="8"/>
  <c r="CL79" i="8"/>
  <c r="CM79" i="8"/>
  <c r="CO79" i="8"/>
  <c r="DS78" i="8"/>
  <c r="CX78" i="8"/>
  <c r="CZ78" i="8"/>
  <c r="DB78" i="8"/>
  <c r="CK78" i="8"/>
  <c r="CL78" i="8"/>
  <c r="CM78" i="8"/>
  <c r="CO78" i="8"/>
  <c r="DS77" i="8"/>
  <c r="CX77" i="8"/>
  <c r="CZ77" i="8"/>
  <c r="DB77" i="8"/>
  <c r="CK77" i="8"/>
  <c r="CL77" i="8"/>
  <c r="CM77" i="8"/>
  <c r="CO77" i="8"/>
  <c r="DS76" i="8"/>
  <c r="CX76" i="8"/>
  <c r="CZ76" i="8"/>
  <c r="DB76" i="8"/>
  <c r="CK76" i="8"/>
  <c r="CL76" i="8"/>
  <c r="CM76" i="8"/>
  <c r="CO76" i="8"/>
  <c r="DS75" i="8"/>
  <c r="CX75" i="8"/>
  <c r="CZ75" i="8"/>
  <c r="DB75" i="8"/>
  <c r="CK75" i="8"/>
  <c r="CL75" i="8"/>
  <c r="CM75" i="8"/>
  <c r="CO75" i="8"/>
  <c r="DS74" i="8"/>
  <c r="CX74" i="8"/>
  <c r="CZ74" i="8"/>
  <c r="DB74" i="8"/>
  <c r="CK74" i="8"/>
  <c r="CL74" i="8"/>
  <c r="CM74" i="8"/>
  <c r="CO74" i="8"/>
  <c r="DS73" i="8"/>
  <c r="CX73" i="8"/>
  <c r="CZ73" i="8"/>
  <c r="DB73" i="8"/>
  <c r="CK73" i="8"/>
  <c r="CL73" i="8"/>
  <c r="CM73" i="8"/>
  <c r="CO73" i="8"/>
  <c r="DS72" i="8"/>
  <c r="CX72" i="8"/>
  <c r="CZ72" i="8"/>
  <c r="DB72" i="8"/>
  <c r="CK72" i="8"/>
  <c r="CL72" i="8"/>
  <c r="CM72" i="8"/>
  <c r="CO72" i="8"/>
  <c r="DS71" i="8"/>
  <c r="CX71" i="8"/>
  <c r="CZ71" i="8"/>
  <c r="DB71" i="8"/>
  <c r="CK71" i="8"/>
  <c r="CL71" i="8"/>
  <c r="CM71" i="8"/>
  <c r="CO71" i="8"/>
  <c r="DS70" i="8"/>
  <c r="CX70" i="8"/>
  <c r="CZ70" i="8"/>
  <c r="DB70" i="8"/>
  <c r="CK70" i="8"/>
  <c r="CL70" i="8"/>
  <c r="CM70" i="8"/>
  <c r="CO70" i="8"/>
  <c r="DS69" i="8"/>
  <c r="CX69" i="8"/>
  <c r="CZ69" i="8"/>
  <c r="DB69" i="8"/>
  <c r="CK69" i="8"/>
  <c r="CL69" i="8"/>
  <c r="CM69" i="8"/>
  <c r="CO69" i="8"/>
  <c r="DS68" i="8"/>
  <c r="CX68" i="8"/>
  <c r="CZ68" i="8"/>
  <c r="DB68" i="8"/>
  <c r="CK68" i="8"/>
  <c r="CL68" i="8"/>
  <c r="CM68" i="8"/>
  <c r="CO68" i="8"/>
  <c r="DS67" i="8"/>
  <c r="CX67" i="8"/>
  <c r="CZ67" i="8"/>
  <c r="DB67" i="8"/>
  <c r="CK67" i="8"/>
  <c r="CL67" i="8"/>
  <c r="CM67" i="8"/>
  <c r="CO67" i="8"/>
  <c r="DS66" i="8"/>
  <c r="CX66" i="8"/>
  <c r="CZ66" i="8"/>
  <c r="DB66" i="8"/>
  <c r="CK66" i="8"/>
  <c r="CL66" i="8"/>
  <c r="CM66" i="8"/>
  <c r="CO66" i="8"/>
  <c r="DS65" i="8"/>
  <c r="CX65" i="8"/>
  <c r="CZ65" i="8"/>
  <c r="DB65" i="8"/>
  <c r="CK65" i="8"/>
  <c r="CL65" i="8"/>
  <c r="CM65" i="8"/>
  <c r="CO65" i="8"/>
  <c r="DS64" i="8"/>
  <c r="CX64" i="8"/>
  <c r="CZ64" i="8"/>
  <c r="DB64" i="8"/>
  <c r="CK64" i="8"/>
  <c r="CL64" i="8"/>
  <c r="CM64" i="8"/>
  <c r="CO64" i="8"/>
  <c r="DS63" i="8"/>
  <c r="CX63" i="8"/>
  <c r="CZ63" i="8"/>
  <c r="DB63" i="8"/>
  <c r="CK63" i="8"/>
  <c r="CL63" i="8"/>
  <c r="CM63" i="8"/>
  <c r="CO63" i="8"/>
  <c r="DS62" i="8"/>
  <c r="CX62" i="8"/>
  <c r="CZ62" i="8"/>
  <c r="DB62" i="8"/>
  <c r="CK62" i="8"/>
  <c r="CL62" i="8"/>
  <c r="CM62" i="8"/>
  <c r="CO62" i="8"/>
  <c r="DS61" i="8"/>
  <c r="CX61" i="8"/>
  <c r="CZ61" i="8"/>
  <c r="DB61" i="8"/>
  <c r="CK61" i="8"/>
  <c r="CL61" i="8"/>
  <c r="CM61" i="8"/>
  <c r="CO61" i="8"/>
  <c r="DS60" i="8"/>
  <c r="CX60" i="8"/>
  <c r="CZ60" i="8"/>
  <c r="DB60" i="8"/>
  <c r="CK60" i="8"/>
  <c r="CL60" i="8"/>
  <c r="CM60" i="8"/>
  <c r="CO60" i="8"/>
  <c r="DS59" i="8"/>
  <c r="CX59" i="8"/>
  <c r="CZ59" i="8"/>
  <c r="DB59" i="8"/>
  <c r="CK59" i="8"/>
  <c r="CL59" i="8"/>
  <c r="CM59" i="8"/>
  <c r="CO59" i="8"/>
  <c r="DS58" i="8"/>
  <c r="CX58" i="8"/>
  <c r="CZ58" i="8"/>
  <c r="DB58" i="8"/>
  <c r="CK58" i="8"/>
  <c r="CL58" i="8"/>
  <c r="CM58" i="8"/>
  <c r="CO58" i="8"/>
  <c r="DS57" i="8"/>
  <c r="CX57" i="8"/>
  <c r="CZ57" i="8"/>
  <c r="DB57" i="8"/>
  <c r="CK57" i="8"/>
  <c r="CL57" i="8"/>
  <c r="CM57" i="8"/>
  <c r="CO57" i="8"/>
  <c r="DS56" i="8"/>
  <c r="CX56" i="8"/>
  <c r="CZ56" i="8"/>
  <c r="DB56" i="8"/>
  <c r="CK56" i="8"/>
  <c r="CL56" i="8"/>
  <c r="CM56" i="8"/>
  <c r="CO56" i="8"/>
  <c r="DS55" i="8"/>
  <c r="CX55" i="8"/>
  <c r="CZ55" i="8"/>
  <c r="DB55" i="8"/>
  <c r="CK55" i="8"/>
  <c r="CL55" i="8"/>
  <c r="CM55" i="8"/>
  <c r="CO55" i="8"/>
  <c r="DS54" i="8"/>
  <c r="CX54" i="8"/>
  <c r="CZ54" i="8"/>
  <c r="DB54" i="8"/>
  <c r="CK54" i="8"/>
  <c r="CL54" i="8"/>
  <c r="CM54" i="8"/>
  <c r="CO54" i="8"/>
  <c r="DS53" i="8"/>
  <c r="CX53" i="8"/>
  <c r="CZ53" i="8"/>
  <c r="DB53" i="8"/>
  <c r="CK53" i="8"/>
  <c r="CL53" i="8"/>
  <c r="CM53" i="8"/>
  <c r="CO53" i="8"/>
  <c r="DS52" i="8"/>
  <c r="CX52" i="8"/>
  <c r="CZ52" i="8"/>
  <c r="DB52" i="8"/>
  <c r="CK52" i="8"/>
  <c r="CL52" i="8"/>
  <c r="CM52" i="8"/>
  <c r="CO52" i="8"/>
  <c r="DS51" i="8"/>
  <c r="CX51" i="8"/>
  <c r="CZ51" i="8"/>
  <c r="DB51" i="8"/>
  <c r="CK51" i="8"/>
  <c r="CL51" i="8"/>
  <c r="CM51" i="8"/>
  <c r="CO51" i="8"/>
  <c r="DS50" i="8"/>
  <c r="CX50" i="8"/>
  <c r="CZ50" i="8"/>
  <c r="DB50" i="8"/>
  <c r="CK50" i="8"/>
  <c r="CL50" i="8"/>
  <c r="CM50" i="8"/>
  <c r="CO50" i="8"/>
  <c r="DS49" i="8"/>
  <c r="CX49" i="8"/>
  <c r="CZ49" i="8"/>
  <c r="DB49" i="8"/>
  <c r="CK49" i="8"/>
  <c r="CL49" i="8"/>
  <c r="CM49" i="8"/>
  <c r="CO49" i="8"/>
  <c r="DS48" i="8"/>
  <c r="CX48" i="8"/>
  <c r="CZ48" i="8"/>
  <c r="DB48" i="8"/>
  <c r="CK48" i="8"/>
  <c r="CL48" i="8"/>
  <c r="CM48" i="8"/>
  <c r="CO48" i="8"/>
  <c r="DS47" i="8"/>
  <c r="CX47" i="8"/>
  <c r="CZ47" i="8"/>
  <c r="DB47" i="8"/>
  <c r="CK47" i="8"/>
  <c r="CL47" i="8"/>
  <c r="CM47" i="8"/>
  <c r="CO47" i="8"/>
  <c r="DS46" i="8"/>
  <c r="CX46" i="8"/>
  <c r="CZ46" i="8"/>
  <c r="DB46" i="8"/>
  <c r="CK46" i="8"/>
  <c r="CL46" i="8"/>
  <c r="CM46" i="8"/>
  <c r="CO46" i="8"/>
  <c r="DS45" i="8"/>
  <c r="CX45" i="8"/>
  <c r="CZ45" i="8"/>
  <c r="DB45" i="8"/>
  <c r="CK45" i="8"/>
  <c r="CL45" i="8"/>
  <c r="CM45" i="8"/>
  <c r="CO45" i="8"/>
  <c r="DS44" i="8"/>
  <c r="CX44" i="8"/>
  <c r="CZ44" i="8"/>
  <c r="DB44" i="8"/>
  <c r="CK44" i="8"/>
  <c r="CL44" i="8"/>
  <c r="CM44" i="8"/>
  <c r="CO44" i="8"/>
  <c r="DS43" i="8"/>
  <c r="CX43" i="8"/>
  <c r="CZ43" i="8"/>
  <c r="DB43" i="8"/>
  <c r="CK43" i="8"/>
  <c r="CL43" i="8"/>
  <c r="CM43" i="8"/>
  <c r="CO43" i="8"/>
  <c r="DS42" i="8"/>
  <c r="CX42" i="8"/>
  <c r="CZ42" i="8"/>
  <c r="DB42" i="8"/>
  <c r="CK42" i="8"/>
  <c r="CL42" i="8"/>
  <c r="CM42" i="8"/>
  <c r="CO42" i="8"/>
  <c r="DS41" i="8"/>
  <c r="CX41" i="8"/>
  <c r="CZ41" i="8"/>
  <c r="DB41" i="8"/>
  <c r="CK41" i="8"/>
  <c r="CL41" i="8"/>
  <c r="CM41" i="8"/>
  <c r="CO41" i="8"/>
  <c r="DS40" i="8"/>
  <c r="CX40" i="8"/>
  <c r="CZ40" i="8"/>
  <c r="DB40" i="8"/>
  <c r="CK40" i="8"/>
  <c r="CL40" i="8"/>
  <c r="CM40" i="8"/>
  <c r="CO40" i="8"/>
  <c r="DS39" i="8"/>
  <c r="CX39" i="8"/>
  <c r="CZ39" i="8"/>
  <c r="DB39" i="8"/>
  <c r="CK39" i="8"/>
  <c r="CL39" i="8"/>
  <c r="CM39" i="8"/>
  <c r="CO39" i="8"/>
  <c r="DS38" i="8"/>
  <c r="CX38" i="8"/>
  <c r="CZ38" i="8"/>
  <c r="DB38" i="8"/>
  <c r="CK38" i="8"/>
  <c r="CL38" i="8"/>
  <c r="CM38" i="8"/>
  <c r="CO38" i="8"/>
  <c r="DS37" i="8"/>
  <c r="CX37" i="8"/>
  <c r="CZ37" i="8"/>
  <c r="DB37" i="8"/>
  <c r="CK37" i="8"/>
  <c r="CL37" i="8"/>
  <c r="CM37" i="8"/>
  <c r="CO37" i="8"/>
  <c r="DS36" i="8"/>
  <c r="CX36" i="8"/>
  <c r="CZ36" i="8"/>
  <c r="DB36" i="8"/>
  <c r="CK36" i="8"/>
  <c r="CL36" i="8"/>
  <c r="CM36" i="8"/>
  <c r="CO36" i="8"/>
  <c r="DS35" i="8"/>
  <c r="CX35" i="8"/>
  <c r="CZ35" i="8"/>
  <c r="DB35" i="8"/>
  <c r="CK35" i="8"/>
  <c r="CL35" i="8"/>
  <c r="CM35" i="8"/>
  <c r="CO35" i="8"/>
  <c r="DS34" i="8"/>
  <c r="CX34" i="8"/>
  <c r="CZ34" i="8"/>
  <c r="DB34" i="8"/>
  <c r="CK34" i="8"/>
  <c r="CL34" i="8"/>
  <c r="CM34" i="8"/>
  <c r="CO34" i="8"/>
  <c r="DS33" i="8"/>
  <c r="CX33" i="8"/>
  <c r="CZ33" i="8"/>
  <c r="DB33" i="8"/>
  <c r="CK33" i="8"/>
  <c r="CL33" i="8"/>
  <c r="CM33" i="8"/>
  <c r="CO33" i="8"/>
  <c r="DS32" i="8"/>
  <c r="CX32" i="8"/>
  <c r="CZ32" i="8"/>
  <c r="DB32" i="8"/>
  <c r="CK32" i="8"/>
  <c r="CL32" i="8"/>
  <c r="CM32" i="8"/>
  <c r="CO32" i="8"/>
  <c r="DS31" i="8"/>
  <c r="CX31" i="8"/>
  <c r="CZ31" i="8"/>
  <c r="DB31" i="8"/>
  <c r="CK31" i="8"/>
  <c r="CL31" i="8"/>
  <c r="CM31" i="8"/>
  <c r="CO31" i="8"/>
  <c r="DS30" i="8"/>
  <c r="CX30" i="8"/>
  <c r="CZ30" i="8"/>
  <c r="DB30" i="8"/>
  <c r="CK30" i="8"/>
  <c r="CL30" i="8"/>
  <c r="CM30" i="8"/>
  <c r="CO30" i="8"/>
  <c r="DS29" i="8"/>
  <c r="CX29" i="8"/>
  <c r="CZ29" i="8"/>
  <c r="DB29" i="8"/>
  <c r="CK29" i="8"/>
  <c r="CL29" i="8"/>
  <c r="CM29" i="8"/>
  <c r="CO29" i="8"/>
  <c r="DS28" i="8"/>
  <c r="CX28" i="8"/>
  <c r="CZ28" i="8"/>
  <c r="DB28" i="8"/>
  <c r="CK28" i="8"/>
  <c r="CL28" i="8"/>
  <c r="CM28" i="8"/>
  <c r="CO28" i="8"/>
  <c r="DS27" i="8"/>
  <c r="CX27" i="8"/>
  <c r="CZ27" i="8"/>
  <c r="DB27" i="8"/>
  <c r="CK27" i="8"/>
  <c r="CL27" i="8"/>
  <c r="CM27" i="8"/>
  <c r="CO27" i="8"/>
  <c r="DS26" i="8"/>
  <c r="CX26" i="8"/>
  <c r="CZ26" i="8"/>
  <c r="DB26" i="8"/>
  <c r="CH26" i="8"/>
  <c r="CK26" i="8"/>
  <c r="CL26" i="8"/>
  <c r="CM26" i="8"/>
  <c r="CN26" i="8"/>
  <c r="CO26" i="8"/>
  <c r="DS25" i="8"/>
  <c r="CX25" i="8"/>
  <c r="CZ25" i="8"/>
  <c r="DB25" i="8"/>
  <c r="CH25" i="8"/>
  <c r="CK25" i="8"/>
  <c r="CL25" i="8"/>
  <c r="CM25" i="8"/>
  <c r="CN25" i="8"/>
  <c r="CO25" i="8"/>
  <c r="DS24" i="8"/>
  <c r="CX24" i="8"/>
  <c r="CZ24" i="8"/>
  <c r="DB24" i="8"/>
  <c r="CH24" i="8"/>
  <c r="CK24" i="8"/>
  <c r="CL24" i="8"/>
  <c r="CM24" i="8"/>
  <c r="CN24" i="8"/>
  <c r="CO24" i="8"/>
  <c r="DS23" i="8"/>
  <c r="CX23" i="8"/>
  <c r="CZ23" i="8"/>
  <c r="DB23" i="8"/>
  <c r="CH23" i="8"/>
  <c r="CK23" i="8"/>
  <c r="CL23" i="8"/>
  <c r="CM23" i="8"/>
  <c r="CN23" i="8"/>
  <c r="CO23" i="8"/>
  <c r="DS22" i="8"/>
  <c r="CX22" i="8"/>
  <c r="CZ22" i="8"/>
  <c r="DB22" i="8"/>
  <c r="CH22" i="8"/>
  <c r="CK22" i="8"/>
  <c r="CL22" i="8"/>
  <c r="CM22" i="8"/>
  <c r="CN22" i="8"/>
  <c r="CO22" i="8"/>
  <c r="DS21" i="8"/>
  <c r="CX21" i="8"/>
  <c r="CZ21" i="8"/>
  <c r="DB21" i="8"/>
  <c r="CH21" i="8"/>
  <c r="CK21" i="8"/>
  <c r="CL21" i="8"/>
  <c r="CM21" i="8"/>
  <c r="CN21" i="8"/>
  <c r="CO21" i="8"/>
  <c r="DS20" i="8"/>
  <c r="CX20" i="8"/>
  <c r="CZ20" i="8"/>
  <c r="DB20" i="8"/>
  <c r="CH20" i="8"/>
  <c r="CK20" i="8"/>
  <c r="CL20" i="8"/>
  <c r="CM20" i="8"/>
  <c r="CN20" i="8"/>
  <c r="CO20" i="8"/>
  <c r="DS19" i="8"/>
  <c r="CX19" i="8"/>
  <c r="CZ19" i="8"/>
  <c r="DB19" i="8"/>
  <c r="CH19" i="8"/>
  <c r="CK19" i="8"/>
  <c r="CL19" i="8"/>
  <c r="CM19" i="8"/>
  <c r="CN19" i="8"/>
  <c r="CO19" i="8"/>
  <c r="DS18" i="8"/>
  <c r="CX18" i="8"/>
  <c r="CZ18" i="8"/>
  <c r="DB18" i="8"/>
  <c r="CH18" i="8"/>
  <c r="CK18" i="8"/>
  <c r="CL18" i="8"/>
  <c r="CM18" i="8"/>
  <c r="CN18" i="8"/>
  <c r="CO18" i="8"/>
  <c r="DS17" i="8"/>
  <c r="CX17" i="8"/>
  <c r="CZ17" i="8"/>
  <c r="DB17" i="8"/>
  <c r="CH17" i="8"/>
  <c r="CK17" i="8"/>
  <c r="CL17" i="8"/>
  <c r="CM17" i="8"/>
  <c r="CN17" i="8"/>
  <c r="CO17" i="8"/>
  <c r="DS16" i="8"/>
  <c r="CX16" i="8"/>
  <c r="CZ16" i="8"/>
  <c r="DB16" i="8"/>
  <c r="CH16" i="8"/>
  <c r="CK16" i="8"/>
  <c r="CL16" i="8"/>
  <c r="CM16" i="8"/>
  <c r="CN16" i="8"/>
  <c r="CO16" i="8"/>
  <c r="DS15" i="8"/>
  <c r="CX15" i="8"/>
  <c r="CZ15" i="8"/>
  <c r="DB15" i="8"/>
  <c r="CH15" i="8"/>
  <c r="CK15" i="8"/>
  <c r="CL15" i="8"/>
  <c r="CM15" i="8"/>
  <c r="CN15" i="8"/>
  <c r="CO15" i="8"/>
  <c r="DS14" i="8"/>
  <c r="CX14" i="8"/>
  <c r="CZ14" i="8"/>
  <c r="DB14" i="8"/>
  <c r="CH14" i="8"/>
  <c r="CK14" i="8"/>
  <c r="CL14" i="8"/>
  <c r="CM14" i="8"/>
  <c r="CN14" i="8"/>
  <c r="CO14" i="8"/>
  <c r="DS13" i="8"/>
  <c r="CX13" i="8"/>
  <c r="CZ13" i="8"/>
  <c r="DB13" i="8"/>
  <c r="CH13" i="8"/>
  <c r="CK13" i="8"/>
  <c r="CL13" i="8"/>
  <c r="CM13" i="8"/>
  <c r="CN13" i="8"/>
  <c r="CO13" i="8"/>
  <c r="DS12" i="8"/>
  <c r="CX12" i="8"/>
  <c r="CZ12" i="8"/>
  <c r="DB12" i="8"/>
  <c r="CH12" i="8"/>
  <c r="CK12" i="8"/>
  <c r="CL12" i="8"/>
  <c r="CM12" i="8"/>
  <c r="CN12" i="8"/>
  <c r="CO12" i="8"/>
  <c r="DS11" i="8"/>
  <c r="CX11" i="8"/>
  <c r="CZ11" i="8"/>
  <c r="DB11" i="8"/>
  <c r="CH11" i="8"/>
  <c r="CK11" i="8"/>
  <c r="CL11" i="8"/>
  <c r="CM11" i="8"/>
  <c r="CN11" i="8"/>
  <c r="CO11" i="8"/>
  <c r="DS10" i="8"/>
  <c r="CX10" i="8"/>
  <c r="CZ10" i="8"/>
  <c r="DB10" i="8"/>
  <c r="CH10" i="8"/>
  <c r="CK10" i="8"/>
  <c r="CL10" i="8"/>
  <c r="CM10" i="8"/>
  <c r="CN10" i="8"/>
  <c r="CO10" i="8"/>
  <c r="DS9" i="8"/>
  <c r="CX9" i="8"/>
  <c r="CZ9" i="8"/>
  <c r="DB9" i="8"/>
  <c r="CH9" i="8"/>
  <c r="CK9" i="8"/>
  <c r="CL9" i="8"/>
  <c r="CM9" i="8"/>
  <c r="CN9" i="8"/>
  <c r="CO9" i="8"/>
  <c r="DS8" i="8"/>
  <c r="CX8" i="8"/>
  <c r="CZ8" i="8"/>
  <c r="DB8" i="8"/>
  <c r="CH8" i="8"/>
  <c r="CK8" i="8"/>
  <c r="CL8" i="8"/>
  <c r="CM8" i="8"/>
  <c r="CN8" i="8"/>
  <c r="CO8" i="8"/>
  <c r="DS7" i="8"/>
  <c r="CX7" i="8"/>
  <c r="CZ7" i="8"/>
  <c r="DB7" i="8"/>
  <c r="CH7" i="8"/>
  <c r="CK7" i="8"/>
  <c r="CL7" i="8"/>
  <c r="CM7" i="8"/>
  <c r="CN7" i="8"/>
  <c r="CO7" i="8"/>
  <c r="DS5" i="8"/>
  <c r="CX5" i="8"/>
  <c r="CZ5" i="8"/>
  <c r="DB5" i="8"/>
  <c r="CH5" i="8"/>
  <c r="CK5" i="8"/>
  <c r="CL5" i="8"/>
  <c r="CM5" i="8"/>
  <c r="CN5" i="8"/>
  <c r="CO5" i="8"/>
  <c r="DS4" i="8"/>
  <c r="DB4" i="8"/>
  <c r="CZ4" i="8"/>
  <c r="CX4" i="8"/>
  <c r="CO4" i="8"/>
  <c r="CN4" i="8"/>
  <c r="CM4" i="8"/>
  <c r="CL4" i="8"/>
  <c r="CK4" i="8"/>
  <c r="CH4" i="8"/>
  <c r="DJ4" i="8"/>
  <c r="DC4" i="8"/>
  <c r="CY4" i="8"/>
  <c r="CQ4" i="8"/>
  <c r="DJ84" i="8"/>
  <c r="CY84" i="8"/>
  <c r="CQ84" i="8"/>
  <c r="DJ83" i="8"/>
  <c r="CY83" i="8"/>
  <c r="CQ83" i="8"/>
  <c r="DJ82" i="8"/>
  <c r="CY82" i="8"/>
  <c r="CQ82" i="8"/>
  <c r="DJ81" i="8"/>
  <c r="CY81" i="8"/>
  <c r="CQ81" i="8"/>
  <c r="DJ80" i="8"/>
  <c r="CY80" i="8"/>
  <c r="CQ80" i="8"/>
  <c r="DJ79" i="8"/>
  <c r="CY79" i="8"/>
  <c r="CQ79" i="8"/>
  <c r="DJ78" i="8"/>
  <c r="CY78" i="8"/>
  <c r="CQ78" i="8"/>
  <c r="DJ77" i="8"/>
  <c r="CY77" i="8"/>
  <c r="CQ77" i="8"/>
  <c r="DJ76" i="8"/>
  <c r="CY76" i="8"/>
  <c r="CQ76" i="8"/>
  <c r="DJ75" i="8"/>
  <c r="CY75" i="8"/>
  <c r="CQ75" i="8"/>
  <c r="DJ74" i="8"/>
  <c r="CY74" i="8"/>
  <c r="CQ74" i="8"/>
  <c r="DJ73" i="8"/>
  <c r="CY73" i="8"/>
  <c r="CQ73" i="8"/>
  <c r="DJ72" i="8"/>
  <c r="CY72" i="8"/>
  <c r="CQ72" i="8"/>
  <c r="DJ71" i="8"/>
  <c r="CY71" i="8"/>
  <c r="CQ71" i="8"/>
  <c r="DJ70" i="8"/>
  <c r="CY70" i="8"/>
  <c r="CQ70" i="8"/>
  <c r="DJ69" i="8"/>
  <c r="CY69" i="8"/>
  <c r="CQ69" i="8"/>
  <c r="DJ68" i="8"/>
  <c r="CY68" i="8"/>
  <c r="CQ68" i="8"/>
  <c r="DJ67" i="8"/>
  <c r="CY67" i="8"/>
  <c r="CQ67" i="8"/>
  <c r="DJ66" i="8"/>
  <c r="CY66" i="8"/>
  <c r="CQ66" i="8"/>
  <c r="DJ65" i="8"/>
  <c r="CY65" i="8"/>
  <c r="CQ65" i="8"/>
  <c r="DJ64" i="8"/>
  <c r="CY64" i="8"/>
  <c r="CQ64" i="8"/>
  <c r="DJ63" i="8"/>
  <c r="CY63" i="8"/>
  <c r="CQ63" i="8"/>
  <c r="DJ62" i="8"/>
  <c r="CY62" i="8"/>
  <c r="CQ62" i="8"/>
  <c r="DJ61" i="8"/>
  <c r="CY61" i="8"/>
  <c r="CQ61" i="8"/>
  <c r="DJ60" i="8"/>
  <c r="CY60" i="8"/>
  <c r="CQ60" i="8"/>
  <c r="DJ59" i="8"/>
  <c r="CY59" i="8"/>
  <c r="CQ59" i="8"/>
  <c r="DJ58" i="8"/>
  <c r="CY58" i="8"/>
  <c r="CQ58" i="8"/>
  <c r="DJ57" i="8"/>
  <c r="CY57" i="8"/>
  <c r="CQ57" i="8"/>
  <c r="DJ56" i="8"/>
  <c r="CY56" i="8"/>
  <c r="CQ56" i="8"/>
  <c r="DJ55" i="8"/>
  <c r="CY55" i="8"/>
  <c r="CQ55" i="8"/>
  <c r="DJ54" i="8"/>
  <c r="CY54" i="8"/>
  <c r="CQ54" i="8"/>
  <c r="DJ53" i="8"/>
  <c r="CY53" i="8"/>
  <c r="CQ53" i="8"/>
  <c r="DJ52" i="8"/>
  <c r="CY52" i="8"/>
  <c r="CQ52" i="8"/>
  <c r="DJ51" i="8"/>
  <c r="CY51" i="8"/>
  <c r="CQ51" i="8"/>
  <c r="DJ50" i="8"/>
  <c r="CY50" i="8"/>
  <c r="CQ50" i="8"/>
  <c r="DJ49" i="8"/>
  <c r="CY49" i="8"/>
  <c r="CQ49" i="8"/>
  <c r="DJ48" i="8"/>
  <c r="CY48" i="8"/>
  <c r="CQ48" i="8"/>
  <c r="DJ47" i="8"/>
  <c r="CY47" i="8"/>
  <c r="CQ47" i="8"/>
  <c r="DJ46" i="8"/>
  <c r="CY46" i="8"/>
  <c r="CQ46" i="8"/>
  <c r="DJ45" i="8"/>
  <c r="CY45" i="8"/>
  <c r="CQ45" i="8"/>
  <c r="DJ44" i="8"/>
  <c r="CY44" i="8"/>
  <c r="CQ44" i="8"/>
  <c r="DJ43" i="8"/>
  <c r="CY43" i="8"/>
  <c r="CQ43" i="8"/>
  <c r="DJ42" i="8"/>
  <c r="CY42" i="8"/>
  <c r="CQ42" i="8"/>
  <c r="DJ41" i="8"/>
  <c r="CY41" i="8"/>
  <c r="CQ41" i="8"/>
  <c r="DJ40" i="8"/>
  <c r="CY40" i="8"/>
  <c r="CQ40" i="8"/>
  <c r="DJ39" i="8"/>
  <c r="CY39" i="8"/>
  <c r="CQ39" i="8"/>
  <c r="DJ38" i="8"/>
  <c r="CY38" i="8"/>
  <c r="CQ38" i="8"/>
  <c r="DJ37" i="8"/>
  <c r="CY37" i="8"/>
  <c r="CQ37" i="8"/>
  <c r="DJ36" i="8"/>
  <c r="CY36" i="8"/>
  <c r="CQ36" i="8"/>
  <c r="DJ35" i="8"/>
  <c r="CY35" i="8"/>
  <c r="CQ35" i="8"/>
  <c r="DJ34" i="8"/>
  <c r="CY34" i="8"/>
  <c r="CQ34" i="8"/>
  <c r="DJ33" i="8"/>
  <c r="CY33" i="8"/>
  <c r="CQ33" i="8"/>
  <c r="DJ32" i="8"/>
  <c r="CY32" i="8"/>
  <c r="CQ32" i="8"/>
  <c r="DJ31" i="8"/>
  <c r="CY31" i="8"/>
  <c r="CQ31" i="8"/>
  <c r="DJ30" i="8"/>
  <c r="CY30" i="8"/>
  <c r="CQ30" i="8"/>
  <c r="DJ29" i="8"/>
  <c r="CY29" i="8"/>
  <c r="CQ29" i="8"/>
  <c r="DJ28" i="8"/>
  <c r="CY28" i="8"/>
  <c r="CQ28" i="8"/>
  <c r="DJ27" i="8"/>
  <c r="CY27" i="8"/>
  <c r="CQ27" i="8"/>
  <c r="DJ26" i="8"/>
  <c r="CY26" i="8"/>
  <c r="CQ26" i="8"/>
  <c r="DJ25" i="8"/>
  <c r="CY25" i="8"/>
  <c r="CQ25" i="8"/>
  <c r="DJ24" i="8"/>
  <c r="CY24" i="8"/>
  <c r="CQ24" i="8"/>
  <c r="DJ23" i="8"/>
  <c r="CY23" i="8"/>
  <c r="CQ23" i="8"/>
  <c r="DJ22" i="8"/>
  <c r="CY22" i="8"/>
  <c r="CQ22" i="8"/>
  <c r="DJ21" i="8"/>
  <c r="CY21" i="8"/>
  <c r="DC21" i="8"/>
  <c r="CQ21" i="8"/>
  <c r="DJ20" i="8"/>
  <c r="CY20" i="8"/>
  <c r="DC20" i="8"/>
  <c r="CQ20" i="8"/>
  <c r="DJ19" i="8"/>
  <c r="CY19" i="8"/>
  <c r="DC19" i="8"/>
  <c r="CQ19" i="8"/>
  <c r="DJ18" i="8"/>
  <c r="CY18" i="8"/>
  <c r="DC18" i="8"/>
  <c r="CQ18" i="8"/>
  <c r="DJ17" i="8"/>
  <c r="CY17" i="8"/>
  <c r="DC17" i="8"/>
  <c r="CQ17" i="8"/>
  <c r="DJ16" i="8"/>
  <c r="CY16" i="8"/>
  <c r="DC16" i="8"/>
  <c r="CQ16" i="8"/>
  <c r="DJ15" i="8"/>
  <c r="CY15" i="8"/>
  <c r="DC15" i="8"/>
  <c r="CQ15" i="8"/>
  <c r="DJ14" i="8"/>
  <c r="CY14" i="8"/>
  <c r="DC14" i="8"/>
  <c r="CQ14" i="8"/>
  <c r="DJ13" i="8"/>
  <c r="CY13" i="8"/>
  <c r="DC13" i="8"/>
  <c r="CQ13" i="8"/>
  <c r="DJ12" i="8"/>
  <c r="CY12" i="8"/>
  <c r="DC12" i="8"/>
  <c r="CQ12" i="8"/>
  <c r="DJ11" i="8"/>
  <c r="CY11" i="8"/>
  <c r="DC11" i="8"/>
  <c r="CQ11" i="8"/>
  <c r="DJ10" i="8"/>
  <c r="CY10" i="8"/>
  <c r="DC10" i="8"/>
  <c r="CQ10" i="8"/>
  <c r="DJ9" i="8"/>
  <c r="CY9" i="8"/>
  <c r="DC9" i="8"/>
  <c r="CQ9" i="8"/>
  <c r="DJ8" i="8"/>
  <c r="CY8" i="8"/>
  <c r="DC8" i="8"/>
  <c r="CQ8" i="8"/>
  <c r="DJ7" i="8"/>
  <c r="CY7" i="8"/>
  <c r="DC7" i="8"/>
  <c r="CQ7" i="8"/>
  <c r="DJ6" i="8"/>
  <c r="CY6" i="8"/>
  <c r="DC6" i="8"/>
  <c r="CQ6" i="8"/>
  <c r="DJ5" i="8"/>
  <c r="CY5" i="8"/>
  <c r="DC5" i="8"/>
  <c r="CQ5" i="8"/>
  <c r="DS6" i="8"/>
  <c r="CX6" i="8"/>
  <c r="CZ6" i="8"/>
  <c r="DB6" i="8"/>
  <c r="CH6" i="8"/>
  <c r="CK6" i="8"/>
  <c r="CL6" i="8"/>
  <c r="CM6" i="8"/>
  <c r="CN6" i="8"/>
  <c r="CO6" i="8"/>
  <c r="EI84" i="9"/>
  <c r="EI83" i="9"/>
  <c r="EI82" i="9"/>
  <c r="EI81" i="9"/>
  <c r="EI80" i="9"/>
  <c r="EI79" i="9"/>
  <c r="EI78" i="9"/>
  <c r="EI77" i="9"/>
  <c r="EI76" i="9"/>
  <c r="EI75" i="9"/>
  <c r="EI74" i="9"/>
  <c r="EI73" i="9"/>
  <c r="EI72" i="9"/>
  <c r="EI71" i="9"/>
  <c r="EI70" i="9"/>
  <c r="EI69" i="9"/>
  <c r="EI68" i="9"/>
  <c r="EI67" i="9"/>
  <c r="EI66" i="9"/>
  <c r="EI65" i="9"/>
  <c r="EI64" i="9"/>
  <c r="EI63" i="9"/>
  <c r="EI62" i="9"/>
  <c r="EI61" i="9"/>
  <c r="EI60" i="9"/>
  <c r="EI59" i="9"/>
  <c r="EI58" i="9"/>
  <c r="EI57" i="9"/>
  <c r="EI56" i="9"/>
  <c r="EI55" i="9"/>
  <c r="EI54" i="9"/>
  <c r="EI53" i="9"/>
  <c r="EI52" i="9"/>
  <c r="EI51" i="9"/>
  <c r="EI50" i="9"/>
  <c r="EI49" i="9"/>
  <c r="EI48" i="9"/>
  <c r="EI47" i="9"/>
  <c r="EI46" i="9"/>
  <c r="EI45" i="9"/>
  <c r="EI44" i="9"/>
  <c r="EI43" i="9"/>
  <c r="EI42" i="9"/>
  <c r="EI41" i="9"/>
  <c r="EI40" i="9"/>
  <c r="EI39" i="9"/>
  <c r="EI38" i="9"/>
  <c r="EI37" i="9"/>
  <c r="EI36" i="9"/>
  <c r="EI35" i="9"/>
  <c r="EI34" i="9"/>
  <c r="EI33" i="9"/>
  <c r="EI32" i="9"/>
  <c r="EI31" i="9"/>
  <c r="EI30" i="9"/>
  <c r="EI29" i="9"/>
  <c r="EI28" i="9"/>
  <c r="EI27" i="9"/>
  <c r="EI26" i="9"/>
  <c r="EI25" i="9"/>
  <c r="EI24" i="9"/>
  <c r="EI23" i="9"/>
  <c r="EI22" i="9"/>
  <c r="EI21" i="9"/>
  <c r="EI20" i="9"/>
  <c r="EI19" i="9"/>
  <c r="EI18" i="9"/>
  <c r="EI17" i="9"/>
  <c r="EI16" i="9"/>
  <c r="EI15" i="9"/>
  <c r="EI14" i="9"/>
  <c r="EI13" i="9"/>
  <c r="EI12" i="9"/>
  <c r="EI11" i="9"/>
  <c r="EI10" i="9"/>
  <c r="EI9" i="9"/>
  <c r="EI8" i="9"/>
  <c r="EI7" i="9"/>
  <c r="EI6" i="9"/>
  <c r="EI5" i="9"/>
  <c r="EI4" i="9"/>
  <c r="CJ84" i="9"/>
  <c r="CK84" i="9"/>
  <c r="CP84" i="9"/>
  <c r="CJ83" i="9"/>
  <c r="CK83" i="9"/>
  <c r="CP83" i="9"/>
  <c r="CJ82" i="9"/>
  <c r="CK82" i="9"/>
  <c r="CP82" i="9"/>
  <c r="CJ81" i="9"/>
  <c r="CK81" i="9"/>
  <c r="CP81" i="9"/>
  <c r="CJ80" i="9"/>
  <c r="CK80" i="9"/>
  <c r="CP80" i="9"/>
  <c r="CJ79" i="9"/>
  <c r="CK79" i="9"/>
  <c r="CP79" i="9"/>
  <c r="CJ78" i="9"/>
  <c r="CK78" i="9"/>
  <c r="CP78" i="9"/>
  <c r="CJ77" i="9"/>
  <c r="CK77" i="9"/>
  <c r="CP77" i="9"/>
  <c r="CJ76" i="9"/>
  <c r="CK76" i="9"/>
  <c r="CP76" i="9"/>
  <c r="CJ75" i="9"/>
  <c r="CK75" i="9"/>
  <c r="CP75" i="9"/>
  <c r="CJ74" i="9"/>
  <c r="CK74" i="9"/>
  <c r="CP74" i="9"/>
  <c r="CJ73" i="9"/>
  <c r="CK73" i="9"/>
  <c r="CP73" i="9"/>
  <c r="CJ72" i="9"/>
  <c r="CK72" i="9"/>
  <c r="CP72" i="9"/>
  <c r="CJ71" i="9"/>
  <c r="CK71" i="9"/>
  <c r="CP71" i="9"/>
  <c r="CJ70" i="9"/>
  <c r="CK70" i="9"/>
  <c r="CP70" i="9"/>
  <c r="CJ69" i="9"/>
  <c r="CK69" i="9"/>
  <c r="CP69" i="9"/>
  <c r="CJ68" i="9"/>
  <c r="CK68" i="9"/>
  <c r="CP68" i="9"/>
  <c r="CJ67" i="9"/>
  <c r="CK67" i="9"/>
  <c r="CP67" i="9"/>
  <c r="CJ66" i="9"/>
  <c r="CK66" i="9"/>
  <c r="CP66" i="9"/>
  <c r="CJ65" i="9"/>
  <c r="CK65" i="9"/>
  <c r="CP65" i="9"/>
  <c r="CJ64" i="9"/>
  <c r="CK64" i="9"/>
  <c r="CP64" i="9"/>
  <c r="CJ63" i="9"/>
  <c r="CK63" i="9"/>
  <c r="CP63" i="9"/>
  <c r="CJ62" i="9"/>
  <c r="CK62" i="9"/>
  <c r="CP62" i="9"/>
  <c r="CJ61" i="9"/>
  <c r="CK61" i="9"/>
  <c r="CP61" i="9"/>
  <c r="CJ60" i="9"/>
  <c r="CK60" i="9"/>
  <c r="CP60" i="9"/>
  <c r="CJ59" i="9"/>
  <c r="CK59" i="9"/>
  <c r="CP59" i="9"/>
  <c r="CJ58" i="9"/>
  <c r="CK58" i="9"/>
  <c r="CP58" i="9"/>
  <c r="CJ57" i="9"/>
  <c r="CK57" i="9"/>
  <c r="CP57" i="9"/>
  <c r="CJ56" i="9"/>
  <c r="CK56" i="9"/>
  <c r="CP56" i="9"/>
  <c r="CJ55" i="9"/>
  <c r="CK55" i="9"/>
  <c r="CP55" i="9"/>
  <c r="CJ54" i="9"/>
  <c r="CK54" i="9"/>
  <c r="CP54" i="9"/>
  <c r="CJ53" i="9"/>
  <c r="CK53" i="9"/>
  <c r="CP53" i="9"/>
  <c r="CJ52" i="9"/>
  <c r="CK52" i="9"/>
  <c r="CP52" i="9"/>
  <c r="CJ51" i="9"/>
  <c r="CK51" i="9"/>
  <c r="CP51" i="9"/>
  <c r="CJ50" i="9"/>
  <c r="CK50" i="9"/>
  <c r="CP50" i="9"/>
  <c r="CJ49" i="9"/>
  <c r="CK49" i="9"/>
  <c r="CP49" i="9"/>
  <c r="CJ48" i="9"/>
  <c r="CK48" i="9"/>
  <c r="CP48" i="9"/>
  <c r="CJ47" i="9"/>
  <c r="CK47" i="9"/>
  <c r="CP47" i="9"/>
  <c r="CJ46" i="9"/>
  <c r="CK46" i="9"/>
  <c r="CP46" i="9"/>
  <c r="CJ45" i="9"/>
  <c r="CK45" i="9"/>
  <c r="CP45" i="9"/>
  <c r="CJ44" i="9"/>
  <c r="CK44" i="9"/>
  <c r="CP44" i="9"/>
  <c r="CJ43" i="9"/>
  <c r="CK43" i="9"/>
  <c r="CP43" i="9"/>
  <c r="CJ42" i="9"/>
  <c r="CK42" i="9"/>
  <c r="CP42" i="9"/>
  <c r="CJ41" i="9"/>
  <c r="CK41" i="9"/>
  <c r="CP41" i="9"/>
  <c r="CJ40" i="9"/>
  <c r="CK40" i="9"/>
  <c r="CP40" i="9"/>
  <c r="CJ39" i="9"/>
  <c r="CK39" i="9"/>
  <c r="CP39" i="9"/>
  <c r="CJ38" i="9"/>
  <c r="CK38" i="9"/>
  <c r="CP38" i="9"/>
  <c r="CJ37" i="9"/>
  <c r="CK37" i="9"/>
  <c r="CP37" i="9"/>
  <c r="CJ36" i="9"/>
  <c r="CK36" i="9"/>
  <c r="CP36" i="9"/>
  <c r="CJ35" i="9"/>
  <c r="CK35" i="9"/>
  <c r="CP35" i="9"/>
  <c r="CJ34" i="9"/>
  <c r="CK34" i="9"/>
  <c r="CP34" i="9"/>
  <c r="CJ33" i="9"/>
  <c r="CK33" i="9"/>
  <c r="CP33" i="9"/>
  <c r="CJ32" i="9"/>
  <c r="CK32" i="9"/>
  <c r="CP32" i="9"/>
  <c r="CJ31" i="9"/>
  <c r="CK31" i="9"/>
  <c r="CP31" i="9"/>
  <c r="CJ30" i="9"/>
  <c r="CK30" i="9"/>
  <c r="CP30" i="9"/>
  <c r="CJ29" i="9"/>
  <c r="CK29" i="9"/>
  <c r="CP29" i="9"/>
  <c r="CJ28" i="9"/>
  <c r="CK28" i="9"/>
  <c r="CP28" i="9"/>
  <c r="CJ27" i="9"/>
  <c r="CK27" i="9"/>
  <c r="CP27" i="9"/>
  <c r="DH4" i="9"/>
  <c r="DM84" i="9"/>
  <c r="DN84" i="9"/>
  <c r="DO84" i="9" s="1"/>
  <c r="DM83" i="9"/>
  <c r="DN83" i="9"/>
  <c r="DO83" i="9" s="1"/>
  <c r="DM82" i="9"/>
  <c r="DN82" i="9"/>
  <c r="DO82" i="9" s="1"/>
  <c r="DM81" i="9"/>
  <c r="DN81" i="9"/>
  <c r="DO81" i="9" s="1"/>
  <c r="DM80" i="9"/>
  <c r="DN80" i="9"/>
  <c r="DO80" i="9" s="1"/>
  <c r="DM79" i="9"/>
  <c r="DN79" i="9"/>
  <c r="DO79" i="9" s="1"/>
  <c r="DM78" i="9"/>
  <c r="DN78" i="9"/>
  <c r="DO78" i="9" s="1"/>
  <c r="DM77" i="9"/>
  <c r="DN77" i="9"/>
  <c r="DO77" i="9" s="1"/>
  <c r="DM76" i="9"/>
  <c r="DN76" i="9"/>
  <c r="DO76" i="9" s="1"/>
  <c r="DM75" i="9"/>
  <c r="DN75" i="9"/>
  <c r="DO75" i="9" s="1"/>
  <c r="DM74" i="9"/>
  <c r="DN74" i="9"/>
  <c r="DO74" i="9" s="1"/>
  <c r="DM73" i="9"/>
  <c r="DN73" i="9"/>
  <c r="DO73" i="9" s="1"/>
  <c r="DM72" i="9"/>
  <c r="DN72" i="9"/>
  <c r="DO72" i="9" s="1"/>
  <c r="DM71" i="9"/>
  <c r="DN71" i="9"/>
  <c r="DO71" i="9" s="1"/>
  <c r="DM70" i="9"/>
  <c r="DN70" i="9"/>
  <c r="DO70" i="9" s="1"/>
  <c r="DM69" i="9"/>
  <c r="DN69" i="9"/>
  <c r="DO69" i="9" s="1"/>
  <c r="DM68" i="9"/>
  <c r="DN68" i="9"/>
  <c r="DO68" i="9" s="1"/>
  <c r="DM67" i="9"/>
  <c r="DN67" i="9"/>
  <c r="DO67" i="9" s="1"/>
  <c r="DM66" i="9"/>
  <c r="DN66" i="9"/>
  <c r="DO66" i="9" s="1"/>
  <c r="DM65" i="9"/>
  <c r="DN65" i="9"/>
  <c r="DO65" i="9" s="1"/>
  <c r="DM64" i="9"/>
  <c r="DN64" i="9"/>
  <c r="DO64" i="9" s="1"/>
  <c r="DM63" i="9"/>
  <c r="DN63" i="9"/>
  <c r="DO63" i="9" s="1"/>
  <c r="DM62" i="9"/>
  <c r="DN62" i="9"/>
  <c r="DO62" i="9" s="1"/>
  <c r="DM61" i="9"/>
  <c r="DN61" i="9"/>
  <c r="DO61" i="9" s="1"/>
  <c r="DM60" i="9"/>
  <c r="DN60" i="9"/>
  <c r="DO60" i="9" s="1"/>
  <c r="DM59" i="9"/>
  <c r="DN59" i="9"/>
  <c r="DO59" i="9" s="1"/>
  <c r="DM58" i="9"/>
  <c r="DN58" i="9"/>
  <c r="DO58" i="9" s="1"/>
  <c r="DM57" i="9"/>
  <c r="DN57" i="9"/>
  <c r="DO57" i="9" s="1"/>
  <c r="DM56" i="9"/>
  <c r="DN56" i="9"/>
  <c r="DO56" i="9" s="1"/>
  <c r="DM55" i="9"/>
  <c r="DN55" i="9"/>
  <c r="DO55" i="9" s="1"/>
  <c r="DM54" i="9"/>
  <c r="DN54" i="9"/>
  <c r="DO54" i="9" s="1"/>
  <c r="DM53" i="9"/>
  <c r="DN53" i="9"/>
  <c r="DO53" i="9" s="1"/>
  <c r="DM52" i="9"/>
  <c r="DN52" i="9"/>
  <c r="DO52" i="9" s="1"/>
  <c r="DM51" i="9"/>
  <c r="DN51" i="9"/>
  <c r="DO51" i="9" s="1"/>
  <c r="DM50" i="9"/>
  <c r="DN50" i="9"/>
  <c r="DO50" i="9" s="1"/>
  <c r="DM49" i="9"/>
  <c r="DN49" i="9"/>
  <c r="DO49" i="9" s="1"/>
  <c r="DM48" i="9"/>
  <c r="DN48" i="9"/>
  <c r="DO48" i="9" s="1"/>
  <c r="DM47" i="9"/>
  <c r="DN47" i="9"/>
  <c r="DO47" i="9" s="1"/>
  <c r="DM46" i="9"/>
  <c r="DN46" i="9"/>
  <c r="DO46" i="9" s="1"/>
  <c r="DM45" i="9"/>
  <c r="DN45" i="9"/>
  <c r="DO45" i="9" s="1"/>
  <c r="DM44" i="9"/>
  <c r="DN44" i="9"/>
  <c r="DO44" i="9" s="1"/>
  <c r="DM43" i="9"/>
  <c r="DN43" i="9"/>
  <c r="DO43" i="9" s="1"/>
  <c r="DM42" i="9"/>
  <c r="DN42" i="9"/>
  <c r="DO42" i="9" s="1"/>
  <c r="DM41" i="9"/>
  <c r="DN41" i="9"/>
  <c r="DO41" i="9" s="1"/>
  <c r="DM40" i="9"/>
  <c r="DN40" i="9"/>
  <c r="DO40" i="9" s="1"/>
  <c r="DM39" i="9"/>
  <c r="DN39" i="9"/>
  <c r="DO39" i="9" s="1"/>
  <c r="DM38" i="9"/>
  <c r="DN38" i="9"/>
  <c r="DO38" i="9" s="1"/>
  <c r="DM37" i="9"/>
  <c r="DN37" i="9"/>
  <c r="DO37" i="9" s="1"/>
  <c r="DM36" i="9"/>
  <c r="DN36" i="9"/>
  <c r="DO36" i="9" s="1"/>
  <c r="DM35" i="9"/>
  <c r="DN35" i="9"/>
  <c r="DO35" i="9" s="1"/>
  <c r="DM34" i="9"/>
  <c r="DN34" i="9"/>
  <c r="DO34" i="9" s="1"/>
  <c r="DM33" i="9"/>
  <c r="DN33" i="9"/>
  <c r="DO33" i="9" s="1"/>
  <c r="DM32" i="9"/>
  <c r="DN32" i="9"/>
  <c r="DO32" i="9" s="1"/>
  <c r="DM31" i="9"/>
  <c r="DN31" i="9"/>
  <c r="DO31" i="9" s="1"/>
  <c r="DM30" i="9"/>
  <c r="DN30" i="9"/>
  <c r="DO30" i="9" s="1"/>
  <c r="DM29" i="9"/>
  <c r="DN29" i="9"/>
  <c r="DO29" i="9" s="1"/>
  <c r="DM28" i="9"/>
  <c r="DN28" i="9"/>
  <c r="DO28" i="9" s="1"/>
  <c r="DM27" i="9"/>
  <c r="DN27" i="9"/>
  <c r="DO27" i="9" s="1"/>
  <c r="DM26" i="9"/>
  <c r="DN26" i="9"/>
  <c r="DO26" i="9" s="1"/>
  <c r="DM25" i="9"/>
  <c r="DN25" i="9"/>
  <c r="DO25" i="9" s="1"/>
  <c r="DM24" i="9"/>
  <c r="DN24" i="9"/>
  <c r="DO24" i="9" s="1"/>
  <c r="DM23" i="9"/>
  <c r="DN23" i="9"/>
  <c r="DO23" i="9" s="1"/>
  <c r="DM22" i="9"/>
  <c r="DN22" i="9"/>
  <c r="DO22" i="9" s="1"/>
  <c r="DM21" i="9"/>
  <c r="DN21" i="9"/>
  <c r="DO21" i="9" s="1"/>
  <c r="DM20" i="9"/>
  <c r="DN20" i="9"/>
  <c r="DO20" i="9" s="1"/>
  <c r="DM19" i="9"/>
  <c r="DN19" i="9"/>
  <c r="DO19" i="9" s="1"/>
  <c r="DM18" i="9"/>
  <c r="DN18" i="9"/>
  <c r="DO18" i="9" s="1"/>
  <c r="DM17" i="9"/>
  <c r="DN17" i="9"/>
  <c r="DO17" i="9" s="1"/>
  <c r="DM16" i="9"/>
  <c r="DN16" i="9"/>
  <c r="DO16" i="9" s="1"/>
  <c r="DM15" i="9"/>
  <c r="DN15" i="9"/>
  <c r="DO15" i="9" s="1"/>
  <c r="DM14" i="9"/>
  <c r="DN14" i="9"/>
  <c r="DO14" i="9" s="1"/>
  <c r="DM13" i="9"/>
  <c r="DN13" i="9"/>
  <c r="DO13" i="9" s="1"/>
  <c r="DM12" i="9"/>
  <c r="DN12" i="9"/>
  <c r="DO12" i="9" s="1"/>
  <c r="DM11" i="9"/>
  <c r="DN11" i="9"/>
  <c r="DO11" i="9" s="1"/>
  <c r="DM10" i="9"/>
  <c r="DN10" i="9"/>
  <c r="DO10" i="9" s="1"/>
  <c r="DM9" i="9"/>
  <c r="DN9" i="9"/>
  <c r="DO9" i="9" s="1"/>
  <c r="DM8" i="9"/>
  <c r="DN8" i="9"/>
  <c r="DO8" i="9" s="1"/>
  <c r="DM7" i="9"/>
  <c r="DN7" i="9"/>
  <c r="DO7" i="9" s="1"/>
  <c r="DM6" i="9"/>
  <c r="DN6" i="9"/>
  <c r="DO6" i="9" s="1"/>
  <c r="DM5" i="9"/>
  <c r="DN5" i="9"/>
  <c r="DO5" i="9" s="1"/>
  <c r="CU4" i="9"/>
  <c r="DN4" i="9"/>
  <c r="DM4" i="9"/>
  <c r="BW84" i="8"/>
  <c r="BX84" i="8"/>
  <c r="BZ84" i="8"/>
  <c r="BW83" i="8"/>
  <c r="BX83" i="8"/>
  <c r="BZ83" i="8"/>
  <c r="BW82" i="8"/>
  <c r="BX82" i="8"/>
  <c r="BZ82" i="8"/>
  <c r="BW81" i="8"/>
  <c r="BX81" i="8"/>
  <c r="BZ81" i="8"/>
  <c r="BW80" i="8"/>
  <c r="BX80" i="8"/>
  <c r="BZ80" i="8"/>
  <c r="BW79" i="8"/>
  <c r="BX79" i="8"/>
  <c r="BZ79" i="8"/>
  <c r="BW78" i="8"/>
  <c r="BX78" i="8"/>
  <c r="BZ78" i="8"/>
  <c r="BW77" i="8"/>
  <c r="BX77" i="8"/>
  <c r="BZ77" i="8"/>
  <c r="BW76" i="8"/>
  <c r="BX76" i="8"/>
  <c r="BZ76" i="8"/>
  <c r="BW75" i="8"/>
  <c r="BX75" i="8"/>
  <c r="BZ75" i="8"/>
  <c r="BW74" i="8"/>
  <c r="BX74" i="8"/>
  <c r="BZ74" i="8"/>
  <c r="BW73" i="8"/>
  <c r="BX73" i="8"/>
  <c r="BZ73" i="8"/>
  <c r="BW72" i="8"/>
  <c r="BX72" i="8"/>
  <c r="BZ72" i="8"/>
  <c r="BW71" i="8"/>
  <c r="BX71" i="8"/>
  <c r="BZ71" i="8"/>
  <c r="BW70" i="8"/>
  <c r="BX70" i="8"/>
  <c r="BZ70" i="8"/>
  <c r="BW69" i="8"/>
  <c r="BX69" i="8"/>
  <c r="BZ69" i="8"/>
  <c r="BW68" i="8"/>
  <c r="BX68" i="8"/>
  <c r="BZ68" i="8"/>
  <c r="BW67" i="8"/>
  <c r="BX67" i="8"/>
  <c r="BZ67" i="8"/>
  <c r="BW66" i="8"/>
  <c r="BX66" i="8"/>
  <c r="BZ66" i="8"/>
  <c r="BW65" i="8"/>
  <c r="BX65" i="8"/>
  <c r="BZ65" i="8"/>
  <c r="BW64" i="8"/>
  <c r="BX64" i="8"/>
  <c r="BZ64" i="8"/>
  <c r="BW63" i="8"/>
  <c r="BX63" i="8"/>
  <c r="BZ63" i="8"/>
  <c r="BW62" i="8"/>
  <c r="BX62" i="8"/>
  <c r="BZ62" i="8"/>
  <c r="BW61" i="8"/>
  <c r="BX61" i="8"/>
  <c r="BZ61" i="8"/>
  <c r="BW60" i="8"/>
  <c r="BX60" i="8"/>
  <c r="BZ60" i="8"/>
  <c r="BW59" i="8"/>
  <c r="BX59" i="8"/>
  <c r="BZ59" i="8"/>
  <c r="BW58" i="8"/>
  <c r="BX58" i="8"/>
  <c r="BZ58" i="8"/>
  <c r="BW57" i="8"/>
  <c r="BX57" i="8"/>
  <c r="BZ57" i="8"/>
  <c r="BW56" i="8"/>
  <c r="BX56" i="8"/>
  <c r="BZ56" i="8"/>
  <c r="BW55" i="8"/>
  <c r="BX55" i="8"/>
  <c r="BZ55" i="8"/>
  <c r="BW54" i="8"/>
  <c r="BX54" i="8"/>
  <c r="BZ54" i="8"/>
  <c r="BW53" i="8"/>
  <c r="BX53" i="8"/>
  <c r="BZ53" i="8"/>
  <c r="BW52" i="8"/>
  <c r="BX52" i="8"/>
  <c r="BZ52" i="8"/>
  <c r="BW51" i="8"/>
  <c r="BX51" i="8"/>
  <c r="BZ51" i="8"/>
  <c r="BW50" i="8"/>
  <c r="BX50" i="8"/>
  <c r="BZ50" i="8"/>
  <c r="BW49" i="8"/>
  <c r="BX49" i="8"/>
  <c r="BZ49" i="8"/>
  <c r="BW48" i="8"/>
  <c r="BX48" i="8"/>
  <c r="BZ48" i="8"/>
  <c r="BW47" i="8"/>
  <c r="BX47" i="8"/>
  <c r="BZ47" i="8"/>
  <c r="BW46" i="8"/>
  <c r="BX46" i="8"/>
  <c r="BZ46" i="8"/>
  <c r="BW45" i="8"/>
  <c r="BX45" i="8"/>
  <c r="BZ45" i="8"/>
  <c r="BW44" i="8"/>
  <c r="BX44" i="8"/>
  <c r="BZ44" i="8"/>
  <c r="BW43" i="8"/>
  <c r="BX43" i="8"/>
  <c r="BZ43" i="8"/>
  <c r="BW42" i="8"/>
  <c r="BX42" i="8"/>
  <c r="BZ42" i="8"/>
  <c r="BW41" i="8"/>
  <c r="BX41" i="8"/>
  <c r="BZ41" i="8"/>
  <c r="BW40" i="8"/>
  <c r="BX40" i="8"/>
  <c r="BZ40" i="8"/>
  <c r="BW39" i="8"/>
  <c r="BX39" i="8"/>
  <c r="BZ39" i="8"/>
  <c r="BW38" i="8"/>
  <c r="BX38" i="8"/>
  <c r="BZ38" i="8"/>
  <c r="BW37" i="8"/>
  <c r="BX37" i="8"/>
  <c r="BZ37" i="8"/>
  <c r="BW36" i="8"/>
  <c r="BX36" i="8"/>
  <c r="BZ36" i="8"/>
  <c r="BW35" i="8"/>
  <c r="BX35" i="8"/>
  <c r="BZ35" i="8"/>
  <c r="BW34" i="8"/>
  <c r="BX34" i="8"/>
  <c r="BZ34" i="8"/>
  <c r="BW33" i="8"/>
  <c r="BX33" i="8"/>
  <c r="BZ33" i="8"/>
  <c r="BW32" i="8"/>
  <c r="BX32" i="8"/>
  <c r="BZ32" i="8"/>
  <c r="BW31" i="8"/>
  <c r="BX31" i="8"/>
  <c r="BZ31" i="8"/>
  <c r="BW30" i="8"/>
  <c r="BX30" i="8"/>
  <c r="BZ30" i="8"/>
  <c r="BW29" i="8"/>
  <c r="BX29" i="8"/>
  <c r="BZ29" i="8"/>
  <c r="BW28" i="8"/>
  <c r="BX28" i="8"/>
  <c r="BZ28" i="8"/>
  <c r="BW27" i="8"/>
  <c r="BX27" i="8"/>
  <c r="BZ27" i="8"/>
  <c r="BW26" i="8"/>
  <c r="BX26" i="8"/>
  <c r="BZ26" i="8"/>
  <c r="BW25" i="8"/>
  <c r="BX25" i="8"/>
  <c r="BZ25" i="8"/>
  <c r="BW24" i="8"/>
  <c r="BX24" i="8"/>
  <c r="BZ24" i="8"/>
  <c r="BW23" i="8"/>
  <c r="BX23" i="8"/>
  <c r="BZ23" i="8"/>
  <c r="BW22" i="8"/>
  <c r="BX22" i="8"/>
  <c r="BZ22" i="8"/>
  <c r="BW21" i="8"/>
  <c r="BX21" i="8"/>
  <c r="BZ21" i="8"/>
  <c r="BW20" i="8"/>
  <c r="BX20" i="8"/>
  <c r="BZ20" i="8"/>
  <c r="BW19" i="8"/>
  <c r="BX19" i="8"/>
  <c r="BZ19" i="8"/>
  <c r="BW18" i="8"/>
  <c r="BX18" i="8"/>
  <c r="BZ18" i="8"/>
  <c r="BW17" i="8"/>
  <c r="BX17" i="8"/>
  <c r="BZ17" i="8"/>
  <c r="BW16" i="8"/>
  <c r="BX16" i="8"/>
  <c r="BZ16" i="8"/>
  <c r="BW15" i="8"/>
  <c r="BX15" i="8"/>
  <c r="BZ15" i="8"/>
  <c r="BW14" i="8"/>
  <c r="BX14" i="8"/>
  <c r="BZ14" i="8"/>
  <c r="BW13" i="8"/>
  <c r="BX13" i="8"/>
  <c r="BZ13" i="8"/>
  <c r="BW12" i="8"/>
  <c r="BX12" i="8"/>
  <c r="BZ12" i="8"/>
  <c r="BW11" i="8"/>
  <c r="BX11" i="8"/>
  <c r="BZ11" i="8"/>
  <c r="BW10" i="8"/>
  <c r="BX10" i="8"/>
  <c r="BZ10" i="8"/>
  <c r="BW9" i="8"/>
  <c r="BX9" i="8"/>
  <c r="BZ9" i="8"/>
  <c r="BW8" i="8"/>
  <c r="BX8" i="8"/>
  <c r="BZ8" i="8"/>
  <c r="BW7" i="8"/>
  <c r="BX7" i="8"/>
  <c r="BZ7" i="8"/>
  <c r="BW5" i="8"/>
  <c r="BX5" i="8"/>
  <c r="BZ5" i="8"/>
  <c r="BP4" i="8"/>
  <c r="BZ4" i="8"/>
  <c r="BX4" i="8"/>
  <c r="BW4" i="8"/>
  <c r="CC4" i="8"/>
  <c r="CA4" i="8"/>
  <c r="CA84" i="8"/>
  <c r="CC84" i="8"/>
  <c r="CA83" i="8"/>
  <c r="CC83" i="8"/>
  <c r="CA82" i="8"/>
  <c r="CC82" i="8"/>
  <c r="CA81" i="8"/>
  <c r="CC81" i="8"/>
  <c r="CA80" i="8"/>
  <c r="CC80" i="8"/>
  <c r="CA79" i="8"/>
  <c r="CC79" i="8"/>
  <c r="CA78" i="8"/>
  <c r="CC78" i="8"/>
  <c r="CA77" i="8"/>
  <c r="CC77" i="8"/>
  <c r="CA76" i="8"/>
  <c r="CC76" i="8"/>
  <c r="CA75" i="8"/>
  <c r="CC75" i="8"/>
  <c r="CA74" i="8"/>
  <c r="CC74" i="8"/>
  <c r="CA73" i="8"/>
  <c r="CC73" i="8"/>
  <c r="CA72" i="8"/>
  <c r="CC72" i="8"/>
  <c r="CA71" i="8"/>
  <c r="CC71" i="8"/>
  <c r="CA70" i="8"/>
  <c r="CC70" i="8"/>
  <c r="CA69" i="8"/>
  <c r="CC69" i="8"/>
  <c r="CA68" i="8"/>
  <c r="CC68" i="8"/>
  <c r="CA67" i="8"/>
  <c r="CC67" i="8"/>
  <c r="CA66" i="8"/>
  <c r="CC66" i="8"/>
  <c r="CA65" i="8"/>
  <c r="CC65" i="8"/>
  <c r="CA64" i="8"/>
  <c r="CC64" i="8"/>
  <c r="CA63" i="8"/>
  <c r="CC63" i="8"/>
  <c r="CA62" i="8"/>
  <c r="CC62" i="8"/>
  <c r="CA61" i="8"/>
  <c r="CC61" i="8"/>
  <c r="CA60" i="8"/>
  <c r="CC60" i="8"/>
  <c r="CA59" i="8"/>
  <c r="CC59" i="8"/>
  <c r="CA58" i="8"/>
  <c r="CC58" i="8"/>
  <c r="CA57" i="8"/>
  <c r="CC57" i="8"/>
  <c r="CA56" i="8"/>
  <c r="CC56" i="8"/>
  <c r="CA55" i="8"/>
  <c r="CC55" i="8"/>
  <c r="CA54" i="8"/>
  <c r="CC54" i="8"/>
  <c r="CA53" i="8"/>
  <c r="CC53" i="8"/>
  <c r="CA52" i="8"/>
  <c r="CC52" i="8"/>
  <c r="CA51" i="8"/>
  <c r="CC51" i="8"/>
  <c r="CA50" i="8"/>
  <c r="CC50" i="8"/>
  <c r="CA49" i="8"/>
  <c r="CC49" i="8"/>
  <c r="CA48" i="8"/>
  <c r="CC48" i="8"/>
  <c r="CA47" i="8"/>
  <c r="CC47" i="8"/>
  <c r="CA46" i="8"/>
  <c r="CC46" i="8"/>
  <c r="CA45" i="8"/>
  <c r="CC45" i="8"/>
  <c r="CA44" i="8"/>
  <c r="CC44" i="8"/>
  <c r="CA43" i="8"/>
  <c r="CC43" i="8"/>
  <c r="CA42" i="8"/>
  <c r="CC42" i="8"/>
  <c r="CA41" i="8"/>
  <c r="CC41" i="8"/>
  <c r="CA40" i="8"/>
  <c r="CC40" i="8"/>
  <c r="CA39" i="8"/>
  <c r="CC39" i="8"/>
  <c r="CA38" i="8"/>
  <c r="CC38" i="8"/>
  <c r="CA37" i="8"/>
  <c r="CC37" i="8"/>
  <c r="CA36" i="8"/>
  <c r="CC36" i="8"/>
  <c r="CA35" i="8"/>
  <c r="CC35" i="8"/>
  <c r="CA34" i="8"/>
  <c r="CC34" i="8"/>
  <c r="CA33" i="8"/>
  <c r="CC33" i="8"/>
  <c r="CA32" i="8"/>
  <c r="CC32" i="8"/>
  <c r="CA31" i="8"/>
  <c r="CC31" i="8"/>
  <c r="CA30" i="8"/>
  <c r="CC30" i="8"/>
  <c r="CA29" i="8"/>
  <c r="CC29" i="8"/>
  <c r="CA28" i="8"/>
  <c r="CC28" i="8"/>
  <c r="CA27" i="8"/>
  <c r="CC27" i="8"/>
  <c r="CA26" i="8"/>
  <c r="CC26" i="8"/>
  <c r="CA25" i="8"/>
  <c r="CC25" i="8"/>
  <c r="CA24" i="8"/>
  <c r="CC24" i="8"/>
  <c r="CA23" i="8"/>
  <c r="CC23" i="8"/>
  <c r="CA22" i="8"/>
  <c r="CC22" i="8"/>
  <c r="CA21" i="8"/>
  <c r="CC21" i="8"/>
  <c r="CA20" i="8"/>
  <c r="CC20" i="8"/>
  <c r="CA19" i="8"/>
  <c r="CC19" i="8"/>
  <c r="CA18" i="8"/>
  <c r="CC18" i="8"/>
  <c r="CA17" i="8"/>
  <c r="CC17" i="8"/>
  <c r="CA16" i="8"/>
  <c r="CC16" i="8"/>
  <c r="CA15" i="8"/>
  <c r="CC15" i="8"/>
  <c r="CA14" i="8"/>
  <c r="CC14" i="8"/>
  <c r="CA13" i="8"/>
  <c r="CC13" i="8"/>
  <c r="CA12" i="8"/>
  <c r="CC12" i="8"/>
  <c r="CA11" i="8"/>
  <c r="CC11" i="8"/>
  <c r="CA10" i="8"/>
  <c r="CC10" i="8"/>
  <c r="CA9" i="8"/>
  <c r="CC9" i="8"/>
  <c r="CA8" i="8"/>
  <c r="CC8" i="8"/>
  <c r="CA7" i="8"/>
  <c r="CC7" i="8"/>
  <c r="CA6" i="8"/>
  <c r="CC6" i="8"/>
  <c r="CA5" i="8"/>
  <c r="CC5" i="8"/>
  <c r="BW6" i="8"/>
  <c r="BX6" i="8"/>
  <c r="BZ6" i="8"/>
  <c r="BN84" i="9"/>
  <c r="BP84" i="9"/>
  <c r="BN83" i="9"/>
  <c r="BP83" i="9"/>
  <c r="BN82" i="9"/>
  <c r="BP82" i="9"/>
  <c r="BN81" i="9"/>
  <c r="BP81" i="9"/>
  <c r="BN80" i="9"/>
  <c r="BP80" i="9"/>
  <c r="BN79" i="9"/>
  <c r="BP79" i="9"/>
  <c r="BN78" i="9"/>
  <c r="BP78" i="9"/>
  <c r="BN77" i="9"/>
  <c r="BP77" i="9"/>
  <c r="BN76" i="9"/>
  <c r="BP76" i="9"/>
  <c r="BN75" i="9"/>
  <c r="BP75" i="9"/>
  <c r="BN74" i="9"/>
  <c r="BP74" i="9"/>
  <c r="BN73" i="9"/>
  <c r="BP73" i="9"/>
  <c r="BN72" i="9"/>
  <c r="BP72" i="9"/>
  <c r="BN71" i="9"/>
  <c r="BP71" i="9"/>
  <c r="BN70" i="9"/>
  <c r="BP70" i="9"/>
  <c r="BN69" i="9"/>
  <c r="BP69" i="9"/>
  <c r="BN68" i="9"/>
  <c r="BP68" i="9"/>
  <c r="BN67" i="9"/>
  <c r="BP67" i="9"/>
  <c r="BN66" i="9"/>
  <c r="BP66" i="9"/>
  <c r="BN65" i="9"/>
  <c r="BP65" i="9"/>
  <c r="BN64" i="9"/>
  <c r="BP64" i="9"/>
  <c r="BN63" i="9"/>
  <c r="BP63" i="9"/>
  <c r="BN62" i="9"/>
  <c r="BP62" i="9"/>
  <c r="BN61" i="9"/>
  <c r="BP61" i="9"/>
  <c r="BN60" i="9"/>
  <c r="BP60" i="9"/>
  <c r="BN59" i="9"/>
  <c r="BP59" i="9"/>
  <c r="BN58" i="9"/>
  <c r="BP58" i="9"/>
  <c r="BN57" i="9"/>
  <c r="BP57" i="9"/>
  <c r="BN56" i="9"/>
  <c r="BP56" i="9"/>
  <c r="BN55" i="9"/>
  <c r="BP55" i="9"/>
  <c r="BN54" i="9"/>
  <c r="BP54" i="9"/>
  <c r="BN53" i="9"/>
  <c r="BP53" i="9"/>
  <c r="BN52" i="9"/>
  <c r="BP52" i="9"/>
  <c r="BN51" i="9"/>
  <c r="BP51" i="9"/>
  <c r="BN50" i="9"/>
  <c r="BP50" i="9"/>
  <c r="BN49" i="9"/>
  <c r="BP49" i="9"/>
  <c r="BN48" i="9"/>
  <c r="BP48" i="9"/>
  <c r="BN47" i="9"/>
  <c r="BP47" i="9"/>
  <c r="BN46" i="9"/>
  <c r="BP46" i="9"/>
  <c r="BN45" i="9"/>
  <c r="BP45" i="9"/>
  <c r="BN44" i="9"/>
  <c r="BP44" i="9"/>
  <c r="BN43" i="9"/>
  <c r="BP43" i="9"/>
  <c r="BN42" i="9"/>
  <c r="BP42" i="9"/>
  <c r="BN41" i="9"/>
  <c r="BP41" i="9"/>
  <c r="BN40" i="9"/>
  <c r="BP40" i="9"/>
  <c r="BN39" i="9"/>
  <c r="BP39" i="9"/>
  <c r="BN38" i="9"/>
  <c r="BP38" i="9"/>
  <c r="BN37" i="9"/>
  <c r="BP37" i="9"/>
  <c r="BN36" i="9"/>
  <c r="BP36" i="9"/>
  <c r="BN35" i="9"/>
  <c r="BP35" i="9"/>
  <c r="BN34" i="9"/>
  <c r="BP34" i="9"/>
  <c r="BN33" i="9"/>
  <c r="BP33" i="9"/>
  <c r="BN32" i="9"/>
  <c r="BP32" i="9"/>
  <c r="BN31" i="9"/>
  <c r="BP31" i="9"/>
  <c r="BN30" i="9"/>
  <c r="BP30" i="9"/>
  <c r="BN29" i="9"/>
  <c r="BP29" i="9"/>
  <c r="BN28" i="9"/>
  <c r="BP28" i="9"/>
  <c r="BN27" i="9"/>
  <c r="BP27" i="9"/>
  <c r="BN26" i="9"/>
  <c r="BP26" i="9"/>
  <c r="BN25" i="9"/>
  <c r="BP25" i="9"/>
  <c r="BN24" i="9"/>
  <c r="BP24" i="9"/>
  <c r="BN23" i="9"/>
  <c r="BP23" i="9"/>
  <c r="BN22" i="9"/>
  <c r="BP22" i="9"/>
  <c r="CG4" i="9"/>
  <c r="CF4" i="9"/>
  <c r="CH84" i="9"/>
  <c r="CH83" i="9"/>
  <c r="CH82" i="9"/>
  <c r="CH81" i="9"/>
  <c r="CH80" i="9"/>
  <c r="CH79" i="9"/>
  <c r="CH78" i="9"/>
  <c r="CH77" i="9"/>
  <c r="CH76" i="9"/>
  <c r="CH75" i="9"/>
  <c r="CH74" i="9"/>
  <c r="CH73" i="9"/>
  <c r="CH72" i="9"/>
  <c r="CH71" i="9"/>
  <c r="CH70" i="9"/>
  <c r="CH69" i="9"/>
  <c r="CH68" i="9"/>
  <c r="CH67" i="9"/>
  <c r="CH66" i="9"/>
  <c r="CH65" i="9"/>
  <c r="CH64" i="9"/>
  <c r="CH63" i="9"/>
  <c r="CH62" i="9"/>
  <c r="CH61" i="9"/>
  <c r="CH60" i="9"/>
  <c r="CH59" i="9"/>
  <c r="CH58" i="9"/>
  <c r="CH57" i="9"/>
  <c r="CH56" i="9"/>
  <c r="CH55" i="9"/>
  <c r="CH54" i="9"/>
  <c r="CH53" i="9"/>
  <c r="CH52" i="9"/>
  <c r="CH51" i="9"/>
  <c r="CH50" i="9"/>
  <c r="CH49" i="9"/>
  <c r="CH48" i="9"/>
  <c r="CH47" i="9"/>
  <c r="CH46" i="9"/>
  <c r="CH45" i="9"/>
  <c r="CH44" i="9"/>
  <c r="CH43" i="9"/>
  <c r="CH42" i="9"/>
  <c r="CH41" i="9"/>
  <c r="CH40" i="9"/>
  <c r="CH39" i="9"/>
  <c r="CH38" i="9"/>
  <c r="CH37" i="9"/>
  <c r="CH36" i="9"/>
  <c r="CH35" i="9"/>
  <c r="CH34" i="9"/>
  <c r="CH33" i="9"/>
  <c r="CH32" i="9"/>
  <c r="CH31" i="9"/>
  <c r="CH30" i="9"/>
  <c r="CH29" i="9"/>
  <c r="CH28" i="9"/>
  <c r="CH27" i="9"/>
  <c r="CH26" i="9"/>
  <c r="CH25" i="9"/>
  <c r="CH24" i="9"/>
  <c r="CH23" i="9"/>
  <c r="CH22" i="9"/>
  <c r="CH21" i="9"/>
  <c r="CH20" i="9"/>
  <c r="CH19" i="9"/>
  <c r="CH18" i="9"/>
  <c r="CH17" i="9"/>
  <c r="CH16" i="9"/>
  <c r="CH15" i="9"/>
  <c r="CH14" i="9"/>
  <c r="CH13" i="9"/>
  <c r="CH12" i="9"/>
  <c r="CH11" i="9"/>
  <c r="CH10" i="9"/>
  <c r="CH9" i="9"/>
  <c r="CH8" i="9"/>
  <c r="CH7" i="9"/>
  <c r="CH6" i="9"/>
  <c r="CH5" i="9"/>
  <c r="CH4" i="9"/>
  <c r="BM84" i="8"/>
  <c r="BN84" i="8"/>
  <c r="BP84" i="8"/>
  <c r="BM83" i="8"/>
  <c r="BN83" i="8"/>
  <c r="BP83" i="8"/>
  <c r="BM82" i="8"/>
  <c r="BN82" i="8"/>
  <c r="BP82" i="8"/>
  <c r="BM81" i="8"/>
  <c r="BN81" i="8"/>
  <c r="BP81" i="8"/>
  <c r="BM80" i="8"/>
  <c r="BN80" i="8"/>
  <c r="BP80" i="8"/>
  <c r="BM79" i="8"/>
  <c r="BN79" i="8"/>
  <c r="BP79" i="8"/>
  <c r="BM78" i="8"/>
  <c r="BN78" i="8"/>
  <c r="BP78" i="8"/>
  <c r="BM77" i="8"/>
  <c r="BN77" i="8"/>
  <c r="BP77" i="8"/>
  <c r="BM76" i="8"/>
  <c r="BN76" i="8"/>
  <c r="BP76" i="8"/>
  <c r="BM75" i="8"/>
  <c r="BN75" i="8"/>
  <c r="BP75" i="8"/>
  <c r="BM74" i="8"/>
  <c r="BN74" i="8"/>
  <c r="BP74" i="8"/>
  <c r="BM73" i="8"/>
  <c r="BN73" i="8"/>
  <c r="BP73" i="8"/>
  <c r="BM72" i="8"/>
  <c r="BN72" i="8"/>
  <c r="BP72" i="8"/>
  <c r="BM71" i="8"/>
  <c r="BN71" i="8"/>
  <c r="BP71" i="8"/>
  <c r="BM70" i="8"/>
  <c r="BN70" i="8"/>
  <c r="BP70" i="8"/>
  <c r="BM69" i="8"/>
  <c r="BN69" i="8"/>
  <c r="BP69" i="8"/>
  <c r="BM68" i="8"/>
  <c r="BN68" i="8"/>
  <c r="BP68" i="8"/>
  <c r="BM67" i="8"/>
  <c r="BN67" i="8"/>
  <c r="BP67" i="8"/>
  <c r="BM66" i="8"/>
  <c r="BN66" i="8"/>
  <c r="BP66" i="8"/>
  <c r="BM65" i="8"/>
  <c r="BN65" i="8"/>
  <c r="BP65" i="8"/>
  <c r="BM64" i="8"/>
  <c r="BN64" i="8"/>
  <c r="BP64" i="8"/>
  <c r="BM63" i="8"/>
  <c r="BN63" i="8"/>
  <c r="BP63" i="8"/>
  <c r="BM62" i="8"/>
  <c r="BN62" i="8"/>
  <c r="BP62" i="8"/>
  <c r="BM61" i="8"/>
  <c r="BN61" i="8"/>
  <c r="BP61" i="8"/>
  <c r="BM60" i="8"/>
  <c r="BN60" i="8"/>
  <c r="BP60" i="8"/>
  <c r="BM59" i="8"/>
  <c r="BN59" i="8"/>
  <c r="BP59" i="8"/>
  <c r="BM58" i="8"/>
  <c r="BN58" i="8"/>
  <c r="BP58" i="8"/>
  <c r="BM57" i="8"/>
  <c r="BN57" i="8"/>
  <c r="BP57" i="8"/>
  <c r="BM56" i="8"/>
  <c r="BN56" i="8"/>
  <c r="BP56" i="8"/>
  <c r="BM55" i="8"/>
  <c r="BN55" i="8"/>
  <c r="BP55" i="8"/>
  <c r="BM54" i="8"/>
  <c r="BN54" i="8"/>
  <c r="BP54" i="8"/>
  <c r="BM53" i="8"/>
  <c r="BN53" i="8"/>
  <c r="BP53" i="8"/>
  <c r="BM52" i="8"/>
  <c r="BN52" i="8"/>
  <c r="BP52" i="8"/>
  <c r="BM51" i="8"/>
  <c r="BN51" i="8"/>
  <c r="BP51" i="8"/>
  <c r="BM50" i="8"/>
  <c r="BN50" i="8"/>
  <c r="BP50" i="8"/>
  <c r="BM49" i="8"/>
  <c r="BN49" i="8"/>
  <c r="BP49" i="8"/>
  <c r="BM48" i="8"/>
  <c r="BN48" i="8"/>
  <c r="BP48" i="8"/>
  <c r="BM47" i="8"/>
  <c r="BN47" i="8"/>
  <c r="BP47" i="8"/>
  <c r="BM46" i="8"/>
  <c r="BN46" i="8"/>
  <c r="BP46" i="8"/>
  <c r="BM45" i="8"/>
  <c r="BN45" i="8"/>
  <c r="BP45" i="8"/>
  <c r="BM44" i="8"/>
  <c r="BN44" i="8"/>
  <c r="BP44" i="8"/>
  <c r="BM43" i="8"/>
  <c r="BN43" i="8"/>
  <c r="BP43" i="8"/>
  <c r="BM42" i="8"/>
  <c r="BN42" i="8"/>
  <c r="BP42" i="8"/>
  <c r="BM41" i="8"/>
  <c r="BN41" i="8"/>
  <c r="BP41" i="8"/>
  <c r="BM40" i="8"/>
  <c r="BN40" i="8"/>
  <c r="BP40" i="8"/>
  <c r="BM39" i="8"/>
  <c r="BN39" i="8"/>
  <c r="BP39" i="8"/>
  <c r="BM38" i="8"/>
  <c r="BN38" i="8"/>
  <c r="BP38" i="8"/>
  <c r="BM37" i="8"/>
  <c r="BN37" i="8"/>
  <c r="BP37" i="8"/>
  <c r="BM36" i="8"/>
  <c r="BN36" i="8"/>
  <c r="BP36" i="8"/>
  <c r="BM35" i="8"/>
  <c r="BN35" i="8"/>
  <c r="BP35" i="8"/>
  <c r="BM34" i="8"/>
  <c r="BN34" i="8"/>
  <c r="BP34" i="8"/>
  <c r="BM33" i="8"/>
  <c r="BN33" i="8"/>
  <c r="BP33" i="8"/>
  <c r="BM32" i="8"/>
  <c r="BN32" i="8"/>
  <c r="BP32" i="8"/>
  <c r="BM31" i="8"/>
  <c r="BN31" i="8"/>
  <c r="BP31" i="8"/>
  <c r="BM30" i="8"/>
  <c r="BN30" i="8"/>
  <c r="BP30" i="8"/>
  <c r="BM29" i="8"/>
  <c r="BN29" i="8"/>
  <c r="BP29" i="8"/>
  <c r="BM28" i="8"/>
  <c r="BN28" i="8"/>
  <c r="BP28" i="8"/>
  <c r="BM27" i="8"/>
  <c r="BN27" i="8"/>
  <c r="BP27" i="8"/>
  <c r="BM26" i="8"/>
  <c r="BN26" i="8"/>
  <c r="BP26" i="8"/>
  <c r="BM25" i="8"/>
  <c r="BN25" i="8"/>
  <c r="BP25" i="8"/>
  <c r="BM24" i="8"/>
  <c r="BN24" i="8"/>
  <c r="BP24" i="8"/>
  <c r="BM23" i="8"/>
  <c r="BN23" i="8"/>
  <c r="BP23" i="8"/>
  <c r="BM22" i="8"/>
  <c r="BN22" i="8"/>
  <c r="BP22" i="8"/>
  <c r="BM21" i="8"/>
  <c r="BN21" i="8"/>
  <c r="BP21" i="8"/>
  <c r="BM20" i="8"/>
  <c r="BN20" i="8"/>
  <c r="BP20" i="8"/>
  <c r="BM19" i="8"/>
  <c r="BN19" i="8"/>
  <c r="BP19" i="8"/>
  <c r="BM18" i="8"/>
  <c r="BN18" i="8"/>
  <c r="BP18" i="8"/>
  <c r="BM17" i="8"/>
  <c r="BN17" i="8"/>
  <c r="BP17" i="8"/>
  <c r="BM16" i="8"/>
  <c r="BN16" i="8"/>
  <c r="BP16" i="8"/>
  <c r="BM15" i="8"/>
  <c r="BN15" i="8"/>
  <c r="BP15" i="8"/>
  <c r="BM14" i="8"/>
  <c r="BN14" i="8"/>
  <c r="BP14" i="8"/>
  <c r="BM13" i="8"/>
  <c r="BN13" i="8"/>
  <c r="BP13" i="8"/>
  <c r="BM12" i="8"/>
  <c r="BN12" i="8"/>
  <c r="BP12" i="8"/>
  <c r="BM11" i="8"/>
  <c r="BN11" i="8"/>
  <c r="BP11" i="8"/>
  <c r="BM10" i="8"/>
  <c r="BN10" i="8"/>
  <c r="BP10" i="8"/>
  <c r="BM9" i="8"/>
  <c r="BN9" i="8"/>
  <c r="BP9" i="8"/>
  <c r="BM8" i="8"/>
  <c r="BN8" i="8"/>
  <c r="BP8" i="8"/>
  <c r="BM7" i="8"/>
  <c r="BN7" i="8"/>
  <c r="BP7" i="8"/>
  <c r="BM5" i="8"/>
  <c r="BN5" i="8"/>
  <c r="BP5" i="8"/>
  <c r="BM6" i="8"/>
  <c r="BN6" i="8"/>
  <c r="BP6" i="8"/>
  <c r="BN4" i="8"/>
  <c r="BM4" i="8"/>
  <c r="BI4" i="8"/>
  <c r="AS84" i="8"/>
  <c r="AU84" i="8"/>
  <c r="AS83" i="8"/>
  <c r="AU83" i="8"/>
  <c r="AS82" i="8"/>
  <c r="AU82" i="8"/>
  <c r="AS81" i="8"/>
  <c r="AU81" i="8"/>
  <c r="AS80" i="8"/>
  <c r="AU80" i="8"/>
  <c r="AS79" i="8"/>
  <c r="AU79" i="8"/>
  <c r="AS78" i="8"/>
  <c r="AU78" i="8"/>
  <c r="AS77" i="8"/>
  <c r="AU77" i="8"/>
  <c r="AS76" i="8"/>
  <c r="AU76" i="8"/>
  <c r="AS75" i="8"/>
  <c r="AU75" i="8"/>
  <c r="AS74" i="8"/>
  <c r="AU74" i="8"/>
  <c r="AS73" i="8"/>
  <c r="AU73" i="8"/>
  <c r="AS72" i="8"/>
  <c r="AU72" i="8"/>
  <c r="AS71" i="8"/>
  <c r="AU71" i="8"/>
  <c r="AS70" i="8"/>
  <c r="AU70" i="8"/>
  <c r="AS69" i="8"/>
  <c r="AU69" i="8"/>
  <c r="AS68" i="8"/>
  <c r="AU68" i="8"/>
  <c r="AS67" i="8"/>
  <c r="AU67" i="8"/>
  <c r="AS66" i="8"/>
  <c r="AU66" i="8"/>
  <c r="AS65" i="8"/>
  <c r="AU65" i="8"/>
  <c r="AS64" i="8"/>
  <c r="AU64" i="8"/>
  <c r="AS63" i="8"/>
  <c r="AU63" i="8"/>
  <c r="AS62" i="8"/>
  <c r="AU62" i="8"/>
  <c r="AS61" i="8"/>
  <c r="AU61" i="8"/>
  <c r="AS60" i="8"/>
  <c r="AU60" i="8"/>
  <c r="AS59" i="8"/>
  <c r="AU59" i="8"/>
  <c r="AS58" i="8"/>
  <c r="AU58" i="8"/>
  <c r="AS57" i="8"/>
  <c r="AU57" i="8"/>
  <c r="AS56" i="8"/>
  <c r="AU56" i="8"/>
  <c r="AS55" i="8"/>
  <c r="AU55" i="8"/>
  <c r="AS54" i="8"/>
  <c r="AU54" i="8"/>
  <c r="AS53" i="8"/>
  <c r="AU53" i="8"/>
  <c r="AS52" i="8"/>
  <c r="AU52" i="8"/>
  <c r="AS51" i="8"/>
  <c r="AU51" i="8"/>
  <c r="AS50" i="8"/>
  <c r="AU50" i="8"/>
  <c r="AS49" i="8"/>
  <c r="AU49" i="8"/>
  <c r="AS48" i="8"/>
  <c r="AU48" i="8"/>
  <c r="AS47" i="8"/>
  <c r="AU47" i="8"/>
  <c r="AS46" i="8"/>
  <c r="AU46" i="8"/>
  <c r="AS45" i="8"/>
  <c r="AU45" i="8"/>
  <c r="AS44" i="8"/>
  <c r="AU44" i="8"/>
  <c r="AS43" i="8"/>
  <c r="AU43" i="8"/>
  <c r="AS42" i="8"/>
  <c r="AU42" i="8"/>
  <c r="AS41" i="8"/>
  <c r="AU41" i="8"/>
  <c r="AS40" i="8"/>
  <c r="AU40" i="8"/>
  <c r="AS39" i="8"/>
  <c r="AU39" i="8"/>
  <c r="AS38" i="8"/>
  <c r="AU38" i="8"/>
  <c r="AS37" i="8"/>
  <c r="AU37" i="8"/>
  <c r="AS36" i="8"/>
  <c r="AU36" i="8"/>
  <c r="AS35" i="8"/>
  <c r="AU35" i="8"/>
  <c r="AS34" i="8"/>
  <c r="AU34" i="8"/>
  <c r="AS33" i="8"/>
  <c r="AU33" i="8"/>
  <c r="AS32" i="8"/>
  <c r="AU32" i="8"/>
  <c r="AS31" i="8"/>
  <c r="AU31" i="8"/>
  <c r="AS30" i="8"/>
  <c r="AU30" i="8"/>
  <c r="AS29" i="8"/>
  <c r="AU29" i="8"/>
  <c r="AS28" i="8"/>
  <c r="AU28" i="8"/>
  <c r="AS27" i="8"/>
  <c r="AU27" i="8"/>
  <c r="AS26" i="8"/>
  <c r="AU26" i="8"/>
  <c r="AS25" i="8"/>
  <c r="AU25" i="8"/>
  <c r="AS24" i="8"/>
  <c r="AU24" i="8"/>
  <c r="AS23" i="8"/>
  <c r="AU23" i="8"/>
  <c r="AS22" i="8"/>
  <c r="AU22" i="8"/>
  <c r="AS21" i="8"/>
  <c r="AU21" i="8"/>
  <c r="AS20" i="8"/>
  <c r="AU20" i="8"/>
  <c r="AS19" i="8"/>
  <c r="AU19" i="8"/>
  <c r="AS18" i="8"/>
  <c r="AU18" i="8"/>
  <c r="AS17" i="8"/>
  <c r="AU17" i="8"/>
  <c r="AS16" i="8"/>
  <c r="AU16" i="8"/>
  <c r="AS15" i="8"/>
  <c r="AU15" i="8"/>
  <c r="AS14" i="8"/>
  <c r="AU14" i="8"/>
  <c r="AS13" i="8"/>
  <c r="AU13" i="8"/>
  <c r="AS12" i="8"/>
  <c r="AU12" i="8"/>
  <c r="AS11" i="8"/>
  <c r="AU11" i="8"/>
  <c r="AS10" i="8"/>
  <c r="AU10" i="8"/>
  <c r="AS9" i="8"/>
  <c r="AU9" i="8"/>
  <c r="AS8" i="8"/>
  <c r="AU8" i="8"/>
  <c r="AS7" i="8"/>
  <c r="AU7" i="8"/>
  <c r="AS5" i="8"/>
  <c r="AU5" i="8"/>
  <c r="AU4" i="8"/>
  <c r="AS4" i="8"/>
  <c r="AS6" i="8"/>
  <c r="AU6" i="8"/>
  <c r="Q84" i="8"/>
  <c r="AH84" i="8"/>
  <c r="AJ84" i="8"/>
  <c r="AH83" i="8"/>
  <c r="AJ83" i="8"/>
  <c r="Q82" i="8"/>
  <c r="AH82" i="8"/>
  <c r="AJ82" i="8"/>
  <c r="Q81" i="8"/>
  <c r="AH81" i="8"/>
  <c r="AJ81" i="8"/>
  <c r="Q80" i="8"/>
  <c r="AH80" i="8"/>
  <c r="AJ80" i="8"/>
  <c r="Q79" i="8"/>
  <c r="AH79" i="8"/>
  <c r="AJ79" i="8"/>
  <c r="AH78" i="8"/>
  <c r="AJ78" i="8"/>
  <c r="AH77" i="8"/>
  <c r="AJ77" i="8"/>
  <c r="AH76" i="8"/>
  <c r="AJ76" i="8"/>
  <c r="Q75" i="8"/>
  <c r="AH75" i="8"/>
  <c r="AJ75" i="8"/>
  <c r="Q74" i="8"/>
  <c r="AH74" i="8"/>
  <c r="AJ74" i="8"/>
  <c r="Q73" i="8"/>
  <c r="AH73" i="8"/>
  <c r="AJ73" i="8"/>
  <c r="Q72" i="8"/>
  <c r="AH72" i="8"/>
  <c r="AJ72" i="8"/>
  <c r="Q71" i="8"/>
  <c r="AH71" i="8"/>
  <c r="AJ71" i="8"/>
  <c r="Q70" i="8"/>
  <c r="AH70" i="8"/>
  <c r="AJ70" i="8"/>
  <c r="Q69" i="8"/>
  <c r="AH69" i="8"/>
  <c r="AJ69" i="8"/>
  <c r="AH68" i="8"/>
  <c r="AJ68" i="8"/>
  <c r="AH67" i="8"/>
  <c r="AJ67" i="8"/>
  <c r="AH66" i="8"/>
  <c r="AJ66" i="8"/>
  <c r="Q65" i="8"/>
  <c r="AH65" i="8"/>
  <c r="AJ65" i="8"/>
  <c r="Q64" i="8"/>
  <c r="AH64" i="8"/>
  <c r="AJ64" i="8"/>
  <c r="Q63" i="8"/>
  <c r="AH63" i="8"/>
  <c r="AJ63" i="8"/>
  <c r="Q62" i="8"/>
  <c r="AH62" i="8"/>
  <c r="AJ62" i="8"/>
  <c r="Q61" i="8"/>
  <c r="AH61" i="8"/>
  <c r="AJ61" i="8"/>
  <c r="Q60" i="8"/>
  <c r="AH60" i="8"/>
  <c r="AJ60" i="8"/>
  <c r="Q59" i="8"/>
  <c r="AH59" i="8"/>
  <c r="AJ59" i="8"/>
  <c r="AH58" i="8"/>
  <c r="AJ58" i="8"/>
  <c r="AH57" i="8"/>
  <c r="AJ57" i="8"/>
  <c r="AH56" i="8"/>
  <c r="AJ56" i="8"/>
  <c r="Q55" i="8"/>
  <c r="AH55" i="8"/>
  <c r="AJ55" i="8"/>
  <c r="Q54" i="8"/>
  <c r="AH54" i="8"/>
  <c r="AJ54" i="8"/>
  <c r="Q53" i="8"/>
  <c r="AH53" i="8"/>
  <c r="AJ53" i="8"/>
  <c r="Q52" i="8"/>
  <c r="AH52" i="8"/>
  <c r="AJ52" i="8"/>
  <c r="Q51" i="8"/>
  <c r="AH51" i="8"/>
  <c r="AJ51" i="8"/>
  <c r="Q50" i="8"/>
  <c r="AH50" i="8"/>
  <c r="AJ50" i="8"/>
  <c r="Q49" i="8"/>
  <c r="AH49" i="8"/>
  <c r="AJ49" i="8"/>
  <c r="AH48" i="8"/>
  <c r="AJ48" i="8"/>
  <c r="AH47" i="8"/>
  <c r="AJ47" i="8"/>
  <c r="AH46" i="8"/>
  <c r="AJ46" i="8"/>
  <c r="Q45" i="8"/>
  <c r="AH45" i="8"/>
  <c r="AJ45" i="8"/>
  <c r="Q44" i="8"/>
  <c r="AH44" i="8"/>
  <c r="AJ44" i="8"/>
  <c r="AH43" i="8"/>
  <c r="AJ43" i="8"/>
  <c r="Q42" i="8"/>
  <c r="AH42" i="8"/>
  <c r="AJ42" i="8"/>
  <c r="Q41" i="8"/>
  <c r="AH41" i="8"/>
  <c r="AJ41" i="8"/>
  <c r="Q40" i="8"/>
  <c r="AH40" i="8"/>
  <c r="AJ40" i="8"/>
  <c r="Q39" i="8"/>
  <c r="AH39" i="8"/>
  <c r="AJ39" i="8"/>
  <c r="AH38" i="8"/>
  <c r="AJ38" i="8"/>
  <c r="AH37" i="8"/>
  <c r="AJ37" i="8"/>
  <c r="AH36" i="8"/>
  <c r="AJ36" i="8"/>
  <c r="Q35" i="8"/>
  <c r="AH35" i="8"/>
  <c r="AJ35" i="8"/>
  <c r="Q34" i="8"/>
  <c r="AH34" i="8"/>
  <c r="AJ34" i="8"/>
  <c r="Q33" i="8"/>
  <c r="AH33" i="8"/>
  <c r="AJ33" i="8"/>
  <c r="Q32" i="8"/>
  <c r="AH32" i="8"/>
  <c r="AJ32" i="8"/>
  <c r="Q31" i="8"/>
  <c r="AH31" i="8"/>
  <c r="AJ31" i="8"/>
  <c r="Q30" i="8"/>
  <c r="AH30" i="8"/>
  <c r="AJ30" i="8"/>
  <c r="Q29" i="8"/>
  <c r="AH29" i="8"/>
  <c r="AJ29" i="8"/>
  <c r="AH28" i="8"/>
  <c r="AJ28" i="8"/>
  <c r="AH27" i="8"/>
  <c r="AJ27" i="8"/>
  <c r="AH26" i="8"/>
  <c r="AJ26" i="8"/>
  <c r="Q25" i="8"/>
  <c r="AH25" i="8"/>
  <c r="AJ25" i="8"/>
  <c r="Q24" i="8"/>
  <c r="AH24" i="8"/>
  <c r="AJ24" i="8"/>
  <c r="Q23" i="8"/>
  <c r="AH23" i="8"/>
  <c r="AJ23" i="8"/>
  <c r="Q22" i="8"/>
  <c r="AH22" i="8"/>
  <c r="AJ22" i="8"/>
  <c r="Q21" i="8"/>
  <c r="AH21" i="8"/>
  <c r="AJ21" i="8"/>
  <c r="Q20" i="8"/>
  <c r="AH20" i="8"/>
  <c r="AJ20" i="8"/>
  <c r="Q19" i="8"/>
  <c r="AH19" i="8"/>
  <c r="AJ19" i="8"/>
  <c r="AH18" i="8"/>
  <c r="AJ18" i="8"/>
  <c r="AH17" i="8"/>
  <c r="AJ17" i="8"/>
  <c r="AH16" i="8"/>
  <c r="AJ16" i="8"/>
  <c r="Q15" i="8"/>
  <c r="AH15" i="8"/>
  <c r="AJ15" i="8"/>
  <c r="Q14" i="8"/>
  <c r="AH14" i="8"/>
  <c r="AJ14" i="8"/>
  <c r="Q13" i="8"/>
  <c r="AH13" i="8"/>
  <c r="AJ13" i="8"/>
  <c r="Q12" i="8"/>
  <c r="AH12" i="8"/>
  <c r="AJ12" i="8"/>
  <c r="Q11" i="8"/>
  <c r="AH11" i="8"/>
  <c r="AJ11" i="8"/>
  <c r="Q10" i="8"/>
  <c r="AH10" i="8"/>
  <c r="AJ10" i="8"/>
  <c r="Q9" i="8"/>
  <c r="AH9" i="8"/>
  <c r="AJ9" i="8"/>
  <c r="AH8" i="8"/>
  <c r="AJ8" i="8"/>
  <c r="AH7" i="8"/>
  <c r="AJ7" i="8"/>
  <c r="Q5" i="8"/>
  <c r="AH5" i="8"/>
  <c r="AJ5" i="8"/>
  <c r="Q4" i="8"/>
  <c r="AJ4" i="8"/>
  <c r="AH4" i="8"/>
  <c r="Q6" i="8"/>
  <c r="AH6" i="8"/>
  <c r="AJ6" i="8"/>
  <c r="AI84" i="9"/>
  <c r="AJ84" i="9"/>
  <c r="AK84" i="9"/>
  <c r="AO84" i="9"/>
  <c r="AI83" i="9"/>
  <c r="AJ83" i="9"/>
  <c r="AK83" i="9"/>
  <c r="AO83" i="9"/>
  <c r="AI82" i="9"/>
  <c r="AJ82" i="9"/>
  <c r="AK82" i="9"/>
  <c r="AO82" i="9"/>
  <c r="AI81" i="9"/>
  <c r="AJ81" i="9"/>
  <c r="AK81" i="9"/>
  <c r="AO81" i="9"/>
  <c r="AI80" i="9"/>
  <c r="AJ80" i="9"/>
  <c r="AK80" i="9"/>
  <c r="AO80" i="9"/>
  <c r="AI79" i="9"/>
  <c r="AJ79" i="9"/>
  <c r="AK79" i="9"/>
  <c r="AO79" i="9"/>
  <c r="AI78" i="9"/>
  <c r="AJ78" i="9"/>
  <c r="AK78" i="9"/>
  <c r="AO78" i="9"/>
  <c r="AI77" i="9"/>
  <c r="AJ77" i="9"/>
  <c r="AK77" i="9"/>
  <c r="AO77" i="9"/>
  <c r="AI76" i="9"/>
  <c r="AJ76" i="9"/>
  <c r="AK76" i="9"/>
  <c r="AO76" i="9"/>
  <c r="AI75" i="9"/>
  <c r="AJ75" i="9"/>
  <c r="AK75" i="9"/>
  <c r="AO75" i="9"/>
  <c r="AI74" i="9"/>
  <c r="AJ74" i="9"/>
  <c r="AK74" i="9"/>
  <c r="AO74" i="9"/>
  <c r="AI73" i="9"/>
  <c r="AJ73" i="9"/>
  <c r="AK73" i="9"/>
  <c r="AO73" i="9"/>
  <c r="AI72" i="9"/>
  <c r="AJ72" i="9"/>
  <c r="AK72" i="9"/>
  <c r="AO72" i="9"/>
  <c r="AI71" i="9"/>
  <c r="AJ71" i="9"/>
  <c r="AK71" i="9"/>
  <c r="AO71" i="9"/>
  <c r="AI70" i="9"/>
  <c r="AJ70" i="9"/>
  <c r="AK70" i="9"/>
  <c r="AO70" i="9"/>
  <c r="AI69" i="9"/>
  <c r="AJ69" i="9"/>
  <c r="AK69" i="9"/>
  <c r="AO69" i="9"/>
  <c r="AI68" i="9"/>
  <c r="AJ68" i="9"/>
  <c r="AK68" i="9"/>
  <c r="AO68" i="9"/>
  <c r="AI67" i="9"/>
  <c r="AJ67" i="9"/>
  <c r="AK67" i="9"/>
  <c r="AO67" i="9"/>
  <c r="AI66" i="9"/>
  <c r="AJ66" i="9"/>
  <c r="AK66" i="9"/>
  <c r="AO66" i="9"/>
  <c r="AI65" i="9"/>
  <c r="AJ65" i="9"/>
  <c r="AK65" i="9"/>
  <c r="AO65" i="9"/>
  <c r="AI64" i="9"/>
  <c r="AJ64" i="9"/>
  <c r="AK64" i="9"/>
  <c r="AO64" i="9"/>
  <c r="AI63" i="9"/>
  <c r="AJ63" i="9"/>
  <c r="AK63" i="9"/>
  <c r="AO63" i="9"/>
  <c r="AI62" i="9"/>
  <c r="AJ62" i="9"/>
  <c r="AK62" i="9"/>
  <c r="AO62" i="9"/>
  <c r="AI61" i="9"/>
  <c r="AJ61" i="9"/>
  <c r="AK61" i="9"/>
  <c r="AO61" i="9"/>
  <c r="AI60" i="9"/>
  <c r="AJ60" i="9"/>
  <c r="AK60" i="9"/>
  <c r="AO60" i="9"/>
  <c r="AI59" i="9"/>
  <c r="AJ59" i="9"/>
  <c r="AK59" i="9"/>
  <c r="AO59" i="9"/>
  <c r="AI58" i="9"/>
  <c r="AJ58" i="9"/>
  <c r="AK58" i="9"/>
  <c r="AO58" i="9"/>
  <c r="AI57" i="9"/>
  <c r="AJ57" i="9"/>
  <c r="AK57" i="9"/>
  <c r="AO57" i="9"/>
  <c r="AI56" i="9"/>
  <c r="AJ56" i="9"/>
  <c r="AK56" i="9"/>
  <c r="AO56" i="9"/>
  <c r="AI55" i="9"/>
  <c r="AJ55" i="9"/>
  <c r="AK55" i="9"/>
  <c r="AO55" i="9"/>
  <c r="AI54" i="9"/>
  <c r="AJ54" i="9"/>
  <c r="AK54" i="9"/>
  <c r="AO54" i="9"/>
  <c r="AI53" i="9"/>
  <c r="AJ53" i="9"/>
  <c r="AK53" i="9"/>
  <c r="AO53" i="9"/>
  <c r="AI52" i="9"/>
  <c r="AJ52" i="9"/>
  <c r="AK52" i="9"/>
  <c r="AO52" i="9"/>
  <c r="AI51" i="9"/>
  <c r="AJ51" i="9"/>
  <c r="AK51" i="9"/>
  <c r="AO51" i="9"/>
  <c r="AI50" i="9"/>
  <c r="AJ50" i="9"/>
  <c r="AK50" i="9"/>
  <c r="AO50" i="9"/>
  <c r="AI49" i="9"/>
  <c r="AJ49" i="9"/>
  <c r="AK49" i="9"/>
  <c r="AO49" i="9"/>
  <c r="AI48" i="9"/>
  <c r="AJ48" i="9"/>
  <c r="AK48" i="9"/>
  <c r="AO48" i="9"/>
  <c r="AI47" i="9"/>
  <c r="AJ47" i="9"/>
  <c r="AK47" i="9"/>
  <c r="AO47" i="9"/>
  <c r="AI46" i="9"/>
  <c r="AJ46" i="9"/>
  <c r="AK46" i="9"/>
  <c r="AO46" i="9"/>
  <c r="AI45" i="9"/>
  <c r="AJ45" i="9"/>
  <c r="AK45" i="9"/>
  <c r="AO45" i="9"/>
  <c r="AI44" i="9"/>
  <c r="AJ44" i="9"/>
  <c r="AK44" i="9"/>
  <c r="AO44" i="9"/>
  <c r="AI43" i="9"/>
  <c r="AJ43" i="9"/>
  <c r="AK43" i="9"/>
  <c r="AO43" i="9"/>
  <c r="AI42" i="9"/>
  <c r="AJ42" i="9"/>
  <c r="AK42" i="9"/>
  <c r="AO42" i="9"/>
  <c r="AI41" i="9"/>
  <c r="AJ41" i="9"/>
  <c r="AK41" i="9"/>
  <c r="AO41" i="9"/>
  <c r="AI40" i="9"/>
  <c r="AJ40" i="9"/>
  <c r="AK40" i="9"/>
  <c r="AO40" i="9"/>
  <c r="AI39" i="9"/>
  <c r="AJ39" i="9"/>
  <c r="AK39" i="9"/>
  <c r="AO39" i="9"/>
  <c r="AI38" i="9"/>
  <c r="AJ38" i="9"/>
  <c r="AK38" i="9"/>
  <c r="AO38" i="9"/>
  <c r="AI37" i="9"/>
  <c r="AJ37" i="9"/>
  <c r="AK37" i="9"/>
  <c r="AO37" i="9"/>
  <c r="AI36" i="9"/>
  <c r="AJ36" i="9"/>
  <c r="AK36" i="9"/>
  <c r="AO36" i="9"/>
  <c r="AI35" i="9"/>
  <c r="AJ35" i="9"/>
  <c r="AK35" i="9"/>
  <c r="AO35" i="9"/>
  <c r="AI34" i="9"/>
  <c r="AJ34" i="9"/>
  <c r="AK34" i="9"/>
  <c r="AO34" i="9"/>
  <c r="AI33" i="9"/>
  <c r="AJ33" i="9"/>
  <c r="AK33" i="9"/>
  <c r="AO33" i="9"/>
  <c r="AI32" i="9"/>
  <c r="AJ32" i="9"/>
  <c r="AK32" i="9"/>
  <c r="AO32" i="9"/>
  <c r="AI31" i="9"/>
  <c r="AJ31" i="9"/>
  <c r="AK31" i="9"/>
  <c r="AO31" i="9"/>
  <c r="AI30" i="9"/>
  <c r="AJ30" i="9"/>
  <c r="AK30" i="9"/>
  <c r="AO30" i="9"/>
  <c r="AI29" i="9"/>
  <c r="AJ29" i="9"/>
  <c r="AK29" i="9"/>
  <c r="AO29" i="9"/>
  <c r="AI28" i="9"/>
  <c r="AJ28" i="9"/>
  <c r="AK28" i="9"/>
  <c r="AO28" i="9"/>
  <c r="AI27" i="9"/>
  <c r="AJ27" i="9"/>
  <c r="AK27" i="9"/>
  <c r="AO27" i="9"/>
  <c r="AI26" i="9"/>
  <c r="AJ26" i="9"/>
  <c r="AK26" i="9"/>
  <c r="AO26" i="9"/>
  <c r="AI25" i="9"/>
  <c r="AJ25" i="9"/>
  <c r="AK25" i="9"/>
  <c r="AO25" i="9"/>
  <c r="AI24" i="9"/>
  <c r="AJ24" i="9"/>
  <c r="AK24" i="9"/>
  <c r="AO24" i="9"/>
  <c r="AI23" i="9"/>
  <c r="AJ23" i="9"/>
  <c r="AK23" i="9"/>
  <c r="AO23" i="9"/>
  <c r="AI22" i="9"/>
  <c r="AJ22" i="9"/>
  <c r="AK22" i="9"/>
  <c r="AO22" i="9"/>
  <c r="AI21" i="9"/>
  <c r="AJ21" i="9"/>
  <c r="AK21" i="9"/>
  <c r="AO21" i="9"/>
  <c r="AI20" i="9"/>
  <c r="AJ20" i="9"/>
  <c r="AK20" i="9"/>
  <c r="AO20" i="9"/>
  <c r="AI19" i="9"/>
  <c r="AJ19" i="9"/>
  <c r="AK19" i="9"/>
  <c r="AO19" i="9"/>
  <c r="AI18" i="9"/>
  <c r="AJ18" i="9"/>
  <c r="AK18" i="9"/>
  <c r="AO18" i="9"/>
  <c r="AI17" i="9"/>
  <c r="AJ17" i="9"/>
  <c r="AK17" i="9"/>
  <c r="AO17" i="9"/>
  <c r="AI16" i="9"/>
  <c r="AJ16" i="9"/>
  <c r="AK16" i="9"/>
  <c r="AO16" i="9"/>
  <c r="AI15" i="9"/>
  <c r="AJ15" i="9"/>
  <c r="AK15" i="9"/>
  <c r="AO15" i="9"/>
  <c r="AI14" i="9"/>
  <c r="AJ14" i="9"/>
  <c r="AK14" i="9"/>
  <c r="AO14" i="9"/>
  <c r="AI13" i="9"/>
  <c r="AJ13" i="9"/>
  <c r="AK13" i="9"/>
  <c r="AO13" i="9"/>
  <c r="AI12" i="9"/>
  <c r="AJ12" i="9"/>
  <c r="AK12" i="9"/>
  <c r="AO12" i="9"/>
  <c r="AI11" i="9"/>
  <c r="AJ11" i="9"/>
  <c r="AK11" i="9"/>
  <c r="AO11" i="9"/>
  <c r="AI10" i="9"/>
  <c r="AJ10" i="9"/>
  <c r="AK10" i="9"/>
  <c r="AO10" i="9"/>
  <c r="AI9" i="9"/>
  <c r="AJ9" i="9"/>
  <c r="AK9" i="9"/>
  <c r="AO9" i="9"/>
  <c r="AI8" i="9"/>
  <c r="AJ8" i="9"/>
  <c r="AK8" i="9"/>
  <c r="AO8" i="9"/>
  <c r="AI7" i="9"/>
  <c r="AJ7" i="9"/>
  <c r="AK7" i="9"/>
  <c r="AO7" i="9"/>
  <c r="AI6" i="9"/>
  <c r="AJ6" i="9"/>
  <c r="AK6" i="9"/>
  <c r="AO6" i="9"/>
  <c r="AI5" i="9"/>
  <c r="AJ5" i="9"/>
  <c r="AK5" i="9"/>
  <c r="AO5" i="9"/>
  <c r="AO4" i="9"/>
  <c r="AK4" i="9"/>
  <c r="AJ4" i="9"/>
  <c r="AI4" i="9"/>
  <c r="I83" i="8"/>
  <c r="Q83" i="8"/>
  <c r="F78" i="8"/>
  <c r="Q78" i="8"/>
  <c r="F77" i="8"/>
  <c r="Q77" i="8"/>
  <c r="F76" i="8"/>
  <c r="Q76" i="8"/>
  <c r="F68" i="8"/>
  <c r="Q68" i="8"/>
  <c r="F67" i="8"/>
  <c r="Q67" i="8"/>
  <c r="F66" i="8"/>
  <c r="Q66" i="8"/>
  <c r="F58" i="8"/>
  <c r="Q58" i="8"/>
  <c r="F57" i="8"/>
  <c r="Q57" i="8"/>
  <c r="F56" i="8"/>
  <c r="Q56" i="8"/>
  <c r="F48" i="8"/>
  <c r="Q48" i="8"/>
  <c r="F47" i="8"/>
  <c r="Q47" i="8"/>
  <c r="F46" i="8"/>
  <c r="Q46" i="8"/>
  <c r="I43" i="8"/>
  <c r="Q43" i="8"/>
  <c r="F38" i="8"/>
  <c r="Q38" i="8"/>
  <c r="F37" i="8"/>
  <c r="Q37" i="8"/>
  <c r="F36" i="8"/>
  <c r="Q36" i="8"/>
  <c r="H28" i="8"/>
  <c r="Q28" i="8"/>
  <c r="F27" i="8"/>
  <c r="Q27" i="8"/>
  <c r="F26" i="8"/>
  <c r="Q26" i="8"/>
  <c r="F18" i="8"/>
  <c r="Q18" i="8"/>
  <c r="F17" i="8"/>
  <c r="Q17" i="8"/>
  <c r="F16" i="8"/>
  <c r="Q16" i="8"/>
  <c r="F8" i="8"/>
  <c r="Q8" i="8"/>
  <c r="F7" i="8"/>
  <c r="Q7" i="8"/>
  <c r="E4" i="8"/>
  <c r="H62" i="8"/>
  <c r="E61" i="8"/>
  <c r="F42" i="8"/>
  <c r="E41" i="8"/>
  <c r="F32" i="8"/>
  <c r="E31" i="8"/>
  <c r="F22" i="8"/>
  <c r="E21" i="8"/>
  <c r="E11" i="8"/>
  <c r="P84" i="9"/>
  <c r="R84" i="9"/>
  <c r="S84" i="9"/>
  <c r="U84" i="9"/>
  <c r="P83" i="9"/>
  <c r="R83" i="9"/>
  <c r="S83" i="9"/>
  <c r="U83" i="9"/>
  <c r="P82" i="9"/>
  <c r="R82" i="9"/>
  <c r="S82" i="9"/>
  <c r="U82" i="9"/>
  <c r="P81" i="9"/>
  <c r="R81" i="9"/>
  <c r="S81" i="9"/>
  <c r="U81" i="9"/>
  <c r="P80" i="9"/>
  <c r="R80" i="9"/>
  <c r="S80" i="9"/>
  <c r="U80" i="9"/>
  <c r="P79" i="9"/>
  <c r="R79" i="9"/>
  <c r="S79" i="9"/>
  <c r="U79" i="9"/>
  <c r="P78" i="9"/>
  <c r="R78" i="9"/>
  <c r="S78" i="9"/>
  <c r="U78" i="9"/>
  <c r="P77" i="9"/>
  <c r="R77" i="9"/>
  <c r="S77" i="9"/>
  <c r="U77" i="9"/>
  <c r="P76" i="9"/>
  <c r="R76" i="9"/>
  <c r="S76" i="9"/>
  <c r="U76" i="9"/>
  <c r="P75" i="9"/>
  <c r="R75" i="9"/>
  <c r="S75" i="9"/>
  <c r="U75" i="9"/>
  <c r="P74" i="9"/>
  <c r="R74" i="9"/>
  <c r="S74" i="9"/>
  <c r="U74" i="9"/>
  <c r="P73" i="9"/>
  <c r="R73" i="9"/>
  <c r="S73" i="9"/>
  <c r="U73" i="9"/>
  <c r="P72" i="9"/>
  <c r="R72" i="9"/>
  <c r="S72" i="9"/>
  <c r="U72" i="9"/>
  <c r="P71" i="9"/>
  <c r="R71" i="9"/>
  <c r="S71" i="9"/>
  <c r="U71" i="9"/>
  <c r="P70" i="9"/>
  <c r="R70" i="9"/>
  <c r="S70" i="9"/>
  <c r="U70" i="9"/>
  <c r="P69" i="9"/>
  <c r="R69" i="9"/>
  <c r="S69" i="9"/>
  <c r="U69" i="9"/>
  <c r="P68" i="9"/>
  <c r="R68" i="9"/>
  <c r="S68" i="9"/>
  <c r="U68" i="9"/>
  <c r="P67" i="9"/>
  <c r="R67" i="9"/>
  <c r="S67" i="9"/>
  <c r="U67" i="9"/>
  <c r="P66" i="9"/>
  <c r="R66" i="9"/>
  <c r="S66" i="9"/>
  <c r="U66" i="9"/>
  <c r="P65" i="9"/>
  <c r="R65" i="9"/>
  <c r="S65" i="9"/>
  <c r="U65" i="9"/>
  <c r="P64" i="9"/>
  <c r="R64" i="9"/>
  <c r="S64" i="9"/>
  <c r="U64" i="9"/>
  <c r="P63" i="9"/>
  <c r="R63" i="9"/>
  <c r="S63" i="9"/>
  <c r="U63" i="9"/>
  <c r="P62" i="9"/>
  <c r="R62" i="9"/>
  <c r="S62" i="9"/>
  <c r="U62" i="9"/>
  <c r="P61" i="9"/>
  <c r="R61" i="9"/>
  <c r="S61" i="9"/>
  <c r="U61" i="9"/>
  <c r="P60" i="9"/>
  <c r="R60" i="9"/>
  <c r="S60" i="9"/>
  <c r="U60" i="9"/>
  <c r="P59" i="9"/>
  <c r="R59" i="9"/>
  <c r="S59" i="9"/>
  <c r="U59" i="9"/>
  <c r="P58" i="9"/>
  <c r="R58" i="9"/>
  <c r="S58" i="9"/>
  <c r="U58" i="9"/>
  <c r="P57" i="9"/>
  <c r="R57" i="9"/>
  <c r="S57" i="9"/>
  <c r="U57" i="9"/>
  <c r="P56" i="9"/>
  <c r="R56" i="9"/>
  <c r="S56" i="9"/>
  <c r="U56" i="9"/>
  <c r="P55" i="9"/>
  <c r="R55" i="9"/>
  <c r="S55" i="9"/>
  <c r="U55" i="9"/>
  <c r="P54" i="9"/>
  <c r="R54" i="9"/>
  <c r="S54" i="9"/>
  <c r="U54" i="9"/>
  <c r="P53" i="9"/>
  <c r="R53" i="9"/>
  <c r="S53" i="9"/>
  <c r="U53" i="9"/>
  <c r="P52" i="9"/>
  <c r="R52" i="9"/>
  <c r="S52" i="9"/>
  <c r="U52" i="9"/>
  <c r="P51" i="9"/>
  <c r="R51" i="9"/>
  <c r="S51" i="9"/>
  <c r="U51" i="9"/>
  <c r="P50" i="9"/>
  <c r="R50" i="9"/>
  <c r="S50" i="9"/>
  <c r="U50" i="9"/>
  <c r="P49" i="9"/>
  <c r="R49" i="9"/>
  <c r="S49" i="9"/>
  <c r="U49" i="9"/>
  <c r="P48" i="9"/>
  <c r="R48" i="9"/>
  <c r="S48" i="9"/>
  <c r="U48" i="9"/>
  <c r="P47" i="9"/>
  <c r="R47" i="9"/>
  <c r="S47" i="9"/>
  <c r="U47" i="9"/>
  <c r="P46" i="9"/>
  <c r="R46" i="9"/>
  <c r="S46" i="9"/>
  <c r="U46" i="9"/>
  <c r="P45" i="9"/>
  <c r="R45" i="9"/>
  <c r="S45" i="9"/>
  <c r="U45" i="9"/>
  <c r="P44" i="9"/>
  <c r="R44" i="9"/>
  <c r="S44" i="9"/>
  <c r="U44" i="9"/>
  <c r="P43" i="9"/>
  <c r="R43" i="9"/>
  <c r="S43" i="9"/>
  <c r="U43" i="9"/>
  <c r="P42" i="9"/>
  <c r="R42" i="9"/>
  <c r="S42" i="9"/>
  <c r="U42" i="9"/>
  <c r="P41" i="9"/>
  <c r="R41" i="9"/>
  <c r="S41" i="9"/>
  <c r="U41" i="9"/>
  <c r="P40" i="9"/>
  <c r="R40" i="9"/>
  <c r="S40" i="9"/>
  <c r="U40" i="9"/>
  <c r="P39" i="9"/>
  <c r="R39" i="9"/>
  <c r="S39" i="9"/>
  <c r="U39" i="9"/>
  <c r="P38" i="9"/>
  <c r="R38" i="9"/>
  <c r="S38" i="9"/>
  <c r="U38" i="9"/>
  <c r="P37" i="9"/>
  <c r="R37" i="9"/>
  <c r="S37" i="9"/>
  <c r="U37" i="9"/>
  <c r="P36" i="9"/>
  <c r="R36" i="9"/>
  <c r="S36" i="9"/>
  <c r="U36" i="9"/>
  <c r="P35" i="9"/>
  <c r="R35" i="9"/>
  <c r="S35" i="9"/>
  <c r="U35" i="9"/>
  <c r="P34" i="9"/>
  <c r="R34" i="9"/>
  <c r="S34" i="9"/>
  <c r="U34" i="9"/>
  <c r="P33" i="9"/>
  <c r="R33" i="9"/>
  <c r="S33" i="9"/>
  <c r="U33" i="9"/>
  <c r="P32" i="9"/>
  <c r="R32" i="9"/>
  <c r="S32" i="9"/>
  <c r="U32" i="9"/>
  <c r="P31" i="9"/>
  <c r="R31" i="9"/>
  <c r="S31" i="9"/>
  <c r="U31" i="9"/>
  <c r="P30" i="9"/>
  <c r="R30" i="9"/>
  <c r="S30" i="9"/>
  <c r="U30" i="9"/>
  <c r="P29" i="9"/>
  <c r="R29" i="9"/>
  <c r="S29" i="9"/>
  <c r="U29" i="9"/>
  <c r="P28" i="9"/>
  <c r="R28" i="9"/>
  <c r="S28" i="9"/>
  <c r="U28" i="9"/>
  <c r="P27" i="9"/>
  <c r="R27" i="9"/>
  <c r="S27" i="9"/>
  <c r="U27" i="9"/>
  <c r="P26" i="9"/>
  <c r="R26" i="9"/>
  <c r="S26" i="9"/>
  <c r="U26" i="9"/>
  <c r="P25" i="9"/>
  <c r="R25" i="9"/>
  <c r="S25" i="9"/>
  <c r="U25" i="9"/>
  <c r="P24" i="9"/>
  <c r="R24" i="9"/>
  <c r="S24" i="9"/>
  <c r="U24" i="9"/>
  <c r="P23" i="9"/>
  <c r="R23" i="9"/>
  <c r="S23" i="9"/>
  <c r="U23" i="9"/>
  <c r="P22" i="9"/>
  <c r="R22" i="9"/>
  <c r="S22" i="9"/>
  <c r="U22" i="9"/>
  <c r="P21" i="9"/>
  <c r="R21" i="9"/>
  <c r="S21" i="9"/>
  <c r="U21" i="9"/>
  <c r="P20" i="9"/>
  <c r="R20" i="9"/>
  <c r="S20" i="9"/>
  <c r="U20" i="9"/>
  <c r="P19" i="9"/>
  <c r="R19" i="9"/>
  <c r="S19" i="9"/>
  <c r="U19" i="9"/>
  <c r="P18" i="9"/>
  <c r="R18" i="9"/>
  <c r="S18" i="9"/>
  <c r="U18" i="9"/>
  <c r="P17" i="9"/>
  <c r="R17" i="9"/>
  <c r="S17" i="9"/>
  <c r="U17" i="9"/>
  <c r="P16" i="9"/>
  <c r="R16" i="9"/>
  <c r="S16" i="9"/>
  <c r="U16" i="9"/>
  <c r="P15" i="9"/>
  <c r="R15" i="9"/>
  <c r="S15" i="9"/>
  <c r="U15" i="9"/>
  <c r="P14" i="9"/>
  <c r="R14" i="9"/>
  <c r="S14" i="9"/>
  <c r="U14" i="9"/>
  <c r="P13" i="9"/>
  <c r="R13" i="9"/>
  <c r="S13" i="9"/>
  <c r="U13" i="9"/>
  <c r="P12" i="9"/>
  <c r="R12" i="9"/>
  <c r="S12" i="9"/>
  <c r="U12" i="9"/>
  <c r="P11" i="9"/>
  <c r="R11" i="9"/>
  <c r="S11" i="9"/>
  <c r="U11" i="9"/>
  <c r="P10" i="9"/>
  <c r="R10" i="9"/>
  <c r="S10" i="9"/>
  <c r="U10" i="9"/>
  <c r="P9" i="9"/>
  <c r="R9" i="9"/>
  <c r="S9" i="9"/>
  <c r="U9" i="9"/>
  <c r="P8" i="9"/>
  <c r="R8" i="9"/>
  <c r="S8" i="9"/>
  <c r="U8" i="9"/>
  <c r="P7" i="9"/>
  <c r="R7" i="9"/>
  <c r="S7" i="9"/>
  <c r="U7" i="9"/>
  <c r="P6" i="9"/>
  <c r="R6" i="9"/>
  <c r="S6" i="9"/>
  <c r="U6" i="9"/>
  <c r="P5" i="9"/>
  <c r="R5" i="9"/>
  <c r="S5" i="9"/>
  <c r="U5" i="9"/>
  <c r="U4" i="9"/>
  <c r="S4" i="9"/>
  <c r="R4" i="9"/>
  <c r="P4" i="9"/>
  <c r="M84" i="9"/>
  <c r="L84" i="9"/>
  <c r="M83" i="9"/>
  <c r="L83" i="9"/>
  <c r="M82" i="9"/>
  <c r="L82" i="9"/>
  <c r="M81" i="9"/>
  <c r="L81" i="9"/>
  <c r="M80" i="9"/>
  <c r="L80" i="9"/>
  <c r="M79" i="9"/>
  <c r="L79" i="9"/>
  <c r="M78" i="9"/>
  <c r="L78" i="9"/>
  <c r="M77" i="9"/>
  <c r="L77" i="9"/>
  <c r="M76" i="9"/>
  <c r="L76" i="9"/>
  <c r="M75" i="9"/>
  <c r="L75" i="9"/>
  <c r="M74" i="9"/>
  <c r="L74" i="9"/>
  <c r="M73" i="9"/>
  <c r="L73" i="9"/>
  <c r="M72" i="9"/>
  <c r="L72" i="9"/>
  <c r="M71" i="9"/>
  <c r="L71" i="9"/>
  <c r="M70" i="9"/>
  <c r="L70" i="9"/>
  <c r="M69" i="9"/>
  <c r="L69" i="9"/>
  <c r="M68" i="9"/>
  <c r="L68" i="9"/>
  <c r="M67" i="9"/>
  <c r="L67" i="9"/>
  <c r="M66" i="9"/>
  <c r="L66" i="9"/>
  <c r="M65" i="9"/>
  <c r="L65" i="9"/>
  <c r="M64" i="9"/>
  <c r="L64" i="9"/>
  <c r="M63" i="9"/>
  <c r="L63" i="9"/>
  <c r="M62" i="9"/>
  <c r="L62" i="9"/>
  <c r="M61" i="9"/>
  <c r="L61" i="9"/>
  <c r="M60" i="9"/>
  <c r="L60" i="9"/>
  <c r="M59" i="9"/>
  <c r="L59" i="9"/>
  <c r="M58" i="9"/>
  <c r="L58" i="9"/>
  <c r="M57" i="9"/>
  <c r="L57" i="9"/>
  <c r="M56" i="9"/>
  <c r="L56" i="9"/>
  <c r="M55" i="9"/>
  <c r="L55" i="9"/>
  <c r="M54" i="9"/>
  <c r="L54" i="9"/>
  <c r="M53" i="9"/>
  <c r="L53" i="9"/>
  <c r="M52" i="9"/>
  <c r="L52" i="9"/>
  <c r="M51" i="9"/>
  <c r="L51" i="9"/>
  <c r="M50" i="9"/>
  <c r="L50" i="9"/>
  <c r="M49" i="9"/>
  <c r="L49" i="9"/>
  <c r="M48" i="9"/>
  <c r="L48" i="9"/>
  <c r="M47" i="9"/>
  <c r="L47" i="9"/>
  <c r="M46" i="9"/>
  <c r="L46" i="9"/>
  <c r="M45" i="9"/>
  <c r="L45" i="9"/>
  <c r="M44" i="9"/>
  <c r="L44" i="9"/>
  <c r="M43" i="9"/>
  <c r="L43" i="9"/>
  <c r="M42" i="9"/>
  <c r="L42" i="9"/>
  <c r="M41" i="9"/>
  <c r="L41" i="9"/>
  <c r="M40" i="9"/>
  <c r="L40" i="9"/>
  <c r="M39" i="9"/>
  <c r="L39" i="9"/>
  <c r="M38" i="9"/>
  <c r="L38" i="9"/>
  <c r="M37" i="9"/>
  <c r="L37" i="9"/>
  <c r="M36" i="9"/>
  <c r="L36" i="9"/>
  <c r="M35" i="9"/>
  <c r="L35" i="9"/>
  <c r="M34" i="9"/>
  <c r="L34" i="9"/>
  <c r="M33" i="9"/>
  <c r="L33" i="9"/>
  <c r="M32" i="9"/>
  <c r="L32" i="9"/>
  <c r="M31" i="9"/>
  <c r="L31" i="9"/>
  <c r="M30" i="9"/>
  <c r="L30" i="9"/>
  <c r="M29" i="9"/>
  <c r="L29" i="9"/>
  <c r="M28" i="9"/>
  <c r="L28" i="9"/>
  <c r="M27" i="9"/>
  <c r="L27" i="9"/>
  <c r="M26" i="9"/>
  <c r="L26" i="9"/>
  <c r="M25" i="9"/>
  <c r="L25" i="9"/>
  <c r="M24" i="9"/>
  <c r="L24" i="9"/>
  <c r="M23" i="9"/>
  <c r="L23" i="9"/>
  <c r="M22" i="9"/>
  <c r="L22" i="9"/>
  <c r="M21" i="9"/>
  <c r="L21" i="9"/>
  <c r="M20" i="9"/>
  <c r="L20" i="9"/>
  <c r="M19" i="9"/>
  <c r="L19" i="9"/>
  <c r="M18" i="9"/>
  <c r="L18" i="9"/>
  <c r="M17" i="9"/>
  <c r="L17" i="9"/>
  <c r="M16" i="9"/>
  <c r="L16" i="9"/>
  <c r="M15" i="9"/>
  <c r="L15" i="9"/>
  <c r="M14" i="9"/>
  <c r="L14" i="9"/>
  <c r="M13" i="9"/>
  <c r="L13" i="9"/>
  <c r="M12" i="9"/>
  <c r="L12" i="9"/>
  <c r="M11" i="9"/>
  <c r="L11" i="9"/>
  <c r="M10" i="9"/>
  <c r="L10" i="9"/>
  <c r="M9" i="9"/>
  <c r="L9" i="9"/>
  <c r="M8" i="9"/>
  <c r="L8" i="9"/>
  <c r="M7" i="9"/>
  <c r="L7" i="9"/>
  <c r="M6" i="9"/>
  <c r="L6" i="9"/>
  <c r="M5" i="9"/>
  <c r="L5" i="9"/>
  <c r="M4" i="9"/>
  <c r="L4" i="9"/>
  <c r="R215" i="2"/>
  <c r="G214" i="2"/>
  <c r="H273" i="2"/>
  <c r="G273" i="2"/>
  <c r="T214" i="2"/>
  <c r="R274" i="2"/>
  <c r="Q274" i="2"/>
  <c r="S214" i="2"/>
  <c r="F273" i="2"/>
  <c r="E273" i="2"/>
  <c r="Q215" i="2"/>
  <c r="G215" i="2"/>
  <c r="H215" i="2"/>
  <c r="R214" i="2"/>
  <c r="Q214" i="2"/>
  <c r="N274" i="2"/>
  <c r="M274" i="2"/>
  <c r="M273" i="2"/>
  <c r="N273" i="2"/>
  <c r="T215" i="2"/>
  <c r="S215" i="2"/>
  <c r="G274" i="2"/>
  <c r="H274" i="2"/>
  <c r="E214" i="2"/>
  <c r="F214" i="2"/>
  <c r="G169" i="2"/>
  <c r="H214" i="2"/>
  <c r="H169" i="2"/>
  <c r="G133" i="2"/>
  <c r="X109" i="2"/>
  <c r="W109" i="2"/>
  <c r="E133" i="2"/>
  <c r="G54" i="2"/>
  <c r="L169" i="2"/>
  <c r="X110" i="2"/>
  <c r="W110" i="2"/>
  <c r="H134" i="2"/>
  <c r="L170" i="2"/>
  <c r="AA170" i="2"/>
  <c r="AA169" i="2"/>
  <c r="K170" i="2"/>
  <c r="K169" i="2"/>
  <c r="G134" i="2"/>
  <c r="Z169" i="2"/>
  <c r="S55" i="2"/>
  <c r="O134" i="2"/>
  <c r="Z170" i="2"/>
  <c r="P134" i="2"/>
  <c r="T55" i="2"/>
  <c r="T133" i="2"/>
  <c r="H133" i="2"/>
  <c r="T134" i="2"/>
  <c r="P87" i="2"/>
  <c r="T54" i="2"/>
  <c r="P133" i="2"/>
  <c r="S133" i="2"/>
  <c r="G86" i="2"/>
  <c r="O133" i="2"/>
  <c r="P86" i="2"/>
  <c r="F133" i="2"/>
  <c r="S134" i="2"/>
  <c r="H86" i="2"/>
  <c r="O86" i="2"/>
  <c r="O87" i="2"/>
  <c r="H54" i="2"/>
  <c r="S54" i="2"/>
  <c r="R17" i="2"/>
  <c r="G81" i="8"/>
  <c r="G71" i="8"/>
  <c r="G61" i="8"/>
  <c r="G51" i="8"/>
  <c r="G41" i="8"/>
  <c r="G31" i="8"/>
  <c r="G21" i="8"/>
  <c r="G11" i="8"/>
  <c r="H72" i="8"/>
  <c r="H82" i="8"/>
  <c r="E35" i="8"/>
  <c r="F6" i="8"/>
  <c r="I73" i="8"/>
  <c r="I63" i="8"/>
  <c r="I53" i="8"/>
  <c r="I33" i="8"/>
  <c r="I23" i="8"/>
  <c r="I13" i="8"/>
  <c r="F62" i="8"/>
  <c r="F52" i="8"/>
  <c r="F12" i="8"/>
  <c r="E71" i="8"/>
  <c r="E60" i="8"/>
  <c r="F50" i="8"/>
  <c r="E40" i="8"/>
  <c r="E30" i="8"/>
  <c r="E20" i="8"/>
  <c r="E10" i="8"/>
  <c r="E49" i="8"/>
  <c r="F61" i="8"/>
  <c r="E79" i="8"/>
  <c r="E39" i="8"/>
  <c r="F9" i="8"/>
  <c r="F5" i="8"/>
  <c r="F51" i="8"/>
  <c r="E80" i="8"/>
  <c r="E59" i="8"/>
  <c r="E19" i="8"/>
  <c r="F65" i="8"/>
  <c r="F55" i="8"/>
  <c r="F15" i="8"/>
  <c r="F41" i="8"/>
  <c r="E70" i="8"/>
  <c r="E69" i="8"/>
  <c r="E29" i="8"/>
  <c r="F75" i="8"/>
  <c r="F45" i="8"/>
  <c r="F25" i="8"/>
  <c r="F4" i="8"/>
  <c r="F84" i="8"/>
  <c r="F74" i="8"/>
  <c r="F64" i="8"/>
  <c r="F54" i="8"/>
  <c r="F44" i="8"/>
  <c r="F34" i="8"/>
  <c r="F24" i="8"/>
  <c r="F14" i="8"/>
  <c r="F11" i="8"/>
  <c r="E78" i="8"/>
  <c r="E58" i="8"/>
  <c r="E38" i="8"/>
  <c r="E83" i="8"/>
  <c r="E73" i="8"/>
  <c r="E63" i="8"/>
  <c r="E53" i="8"/>
  <c r="E43" i="8"/>
  <c r="E33" i="8"/>
  <c r="E23" i="8"/>
  <c r="E13" i="8"/>
  <c r="H49" i="8"/>
  <c r="G80" i="8"/>
  <c r="G70" i="8"/>
  <c r="G60" i="8"/>
  <c r="G50" i="8"/>
  <c r="G40" i="8"/>
  <c r="G30" i="8"/>
  <c r="G20" i="8"/>
  <c r="G10" i="8"/>
  <c r="H39" i="8"/>
  <c r="G79" i="8"/>
  <c r="G69" i="8"/>
  <c r="G59" i="8"/>
  <c r="G49" i="8"/>
  <c r="G39" i="8"/>
  <c r="G29" i="8"/>
  <c r="G19" i="8"/>
  <c r="G9" i="8"/>
  <c r="H81" i="8"/>
  <c r="H71" i="8"/>
  <c r="H61" i="8"/>
  <c r="H51" i="8"/>
  <c r="H41" i="8"/>
  <c r="H31" i="8"/>
  <c r="H21" i="8"/>
  <c r="H11" i="8"/>
  <c r="E51" i="8"/>
  <c r="H29" i="8"/>
  <c r="G76" i="8"/>
  <c r="H19" i="8"/>
  <c r="G66" i="8"/>
  <c r="H9" i="8"/>
  <c r="G56" i="8"/>
  <c r="E8" i="8"/>
  <c r="G46" i="8"/>
  <c r="E17" i="8"/>
  <c r="F82" i="8"/>
  <c r="G36" i="8"/>
  <c r="E48" i="8"/>
  <c r="E28" i="8"/>
  <c r="E77" i="8"/>
  <c r="E67" i="8"/>
  <c r="E57" i="8"/>
  <c r="E47" i="8"/>
  <c r="E37" i="8"/>
  <c r="E27" i="8"/>
  <c r="E7" i="8"/>
  <c r="E76" i="8"/>
  <c r="E66" i="8"/>
  <c r="E56" i="8"/>
  <c r="E46" i="8"/>
  <c r="E36" i="8"/>
  <c r="E26" i="8"/>
  <c r="E16" i="8"/>
  <c r="H79" i="8"/>
  <c r="F81" i="8"/>
  <c r="F31" i="8"/>
  <c r="G26" i="8"/>
  <c r="G16" i="8"/>
  <c r="E68" i="8"/>
  <c r="E18" i="8"/>
  <c r="F35" i="8"/>
  <c r="H4" i="8"/>
  <c r="E75" i="8"/>
  <c r="E65" i="8"/>
  <c r="E55" i="8"/>
  <c r="E45" i="8"/>
  <c r="E25" i="8"/>
  <c r="E15" i="8"/>
  <c r="E5" i="8"/>
  <c r="H69" i="8"/>
  <c r="F72" i="8"/>
  <c r="I82" i="8"/>
  <c r="I72" i="8"/>
  <c r="I62" i="8"/>
  <c r="I52" i="8"/>
  <c r="I42" i="8"/>
  <c r="I32" i="8"/>
  <c r="I22" i="8"/>
  <c r="I12" i="8"/>
  <c r="E84" i="8"/>
  <c r="E74" i="8"/>
  <c r="E64" i="8"/>
  <c r="E54" i="8"/>
  <c r="E44" i="8"/>
  <c r="E34" i="8"/>
  <c r="E24" i="8"/>
  <c r="E14" i="8"/>
  <c r="E81" i="8"/>
  <c r="H59" i="8"/>
  <c r="F71" i="8"/>
  <c r="F21" i="8"/>
  <c r="G6" i="8"/>
  <c r="E82" i="8"/>
  <c r="E72" i="8"/>
  <c r="E62" i="8"/>
  <c r="E52" i="8"/>
  <c r="E42" i="8"/>
  <c r="E32" i="8"/>
  <c r="E22" i="8"/>
  <c r="E12" i="8"/>
  <c r="H80" i="8"/>
  <c r="H70" i="8"/>
  <c r="H60" i="8"/>
  <c r="H50" i="8"/>
  <c r="H40" i="8"/>
  <c r="H30" i="8"/>
  <c r="H20" i="8"/>
  <c r="H10" i="8"/>
  <c r="F83" i="8"/>
  <c r="F73" i="8"/>
  <c r="F63" i="8"/>
  <c r="F53" i="8"/>
  <c r="F43" i="8"/>
  <c r="F33" i="8"/>
  <c r="F23" i="8"/>
  <c r="F13" i="8"/>
  <c r="G78" i="8"/>
  <c r="G68" i="8"/>
  <c r="G58" i="8"/>
  <c r="G48" i="8"/>
  <c r="G38" i="8"/>
  <c r="G28" i="8"/>
  <c r="G18" i="8"/>
  <c r="G8" i="8"/>
  <c r="I81" i="8"/>
  <c r="I71" i="8"/>
  <c r="I61" i="8"/>
  <c r="I51" i="8"/>
  <c r="I41" i="8"/>
  <c r="I31" i="8"/>
  <c r="I21" i="8"/>
  <c r="I11" i="8"/>
  <c r="G77" i="8"/>
  <c r="G67" i="8"/>
  <c r="G57" i="8"/>
  <c r="G47" i="8"/>
  <c r="G37" i="8"/>
  <c r="G27" i="8"/>
  <c r="G17" i="8"/>
  <c r="G7" i="8"/>
  <c r="I80" i="8"/>
  <c r="I70" i="8"/>
  <c r="I60" i="8"/>
  <c r="I50" i="8"/>
  <c r="I40" i="8"/>
  <c r="I30" i="8"/>
  <c r="I20" i="8"/>
  <c r="I10" i="8"/>
  <c r="H18" i="8"/>
  <c r="I79" i="8"/>
  <c r="I69" i="8"/>
  <c r="I59" i="8"/>
  <c r="I49" i="8"/>
  <c r="I39" i="8"/>
  <c r="I29" i="8"/>
  <c r="I19" i="8"/>
  <c r="I9" i="8"/>
  <c r="E50" i="8"/>
  <c r="H78" i="8"/>
  <c r="H48" i="8"/>
  <c r="E9" i="8"/>
  <c r="H77" i="8"/>
  <c r="H67" i="8"/>
  <c r="H57" i="8"/>
  <c r="H47" i="8"/>
  <c r="H37" i="8"/>
  <c r="H27" i="8"/>
  <c r="H17" i="8"/>
  <c r="H7" i="8"/>
  <c r="F80" i="8"/>
  <c r="F70" i="8"/>
  <c r="F60" i="8"/>
  <c r="F40" i="8"/>
  <c r="F30" i="8"/>
  <c r="F20" i="8"/>
  <c r="F10" i="8"/>
  <c r="G75" i="8"/>
  <c r="G65" i="8"/>
  <c r="G55" i="8"/>
  <c r="G45" i="8"/>
  <c r="G35" i="8"/>
  <c r="G25" i="8"/>
  <c r="G15" i="8"/>
  <c r="G5" i="8"/>
  <c r="I78" i="8"/>
  <c r="I68" i="8"/>
  <c r="I58" i="8"/>
  <c r="I48" i="8"/>
  <c r="I38" i="8"/>
  <c r="I28" i="8"/>
  <c r="I18" i="8"/>
  <c r="I8" i="8"/>
  <c r="H68" i="8"/>
  <c r="H38" i="8"/>
  <c r="H8" i="8"/>
  <c r="J8" i="8" s="1"/>
  <c r="H76" i="8"/>
  <c r="H66" i="8"/>
  <c r="H56" i="8"/>
  <c r="H46" i="8"/>
  <c r="H36" i="8"/>
  <c r="H26" i="8"/>
  <c r="H16" i="8"/>
  <c r="H5" i="8"/>
  <c r="F79" i="8"/>
  <c r="F69" i="8"/>
  <c r="F59" i="8"/>
  <c r="F49" i="8"/>
  <c r="F39" i="8"/>
  <c r="F29" i="8"/>
  <c r="F19" i="8"/>
  <c r="G84" i="8"/>
  <c r="G74" i="8"/>
  <c r="G64" i="8"/>
  <c r="G54" i="8"/>
  <c r="G44" i="8"/>
  <c r="G34" i="8"/>
  <c r="G24" i="8"/>
  <c r="G14" i="8"/>
  <c r="G4" i="8"/>
  <c r="I77" i="8"/>
  <c r="I67" i="8"/>
  <c r="I57" i="8"/>
  <c r="I47" i="8"/>
  <c r="I37" i="8"/>
  <c r="I27" i="8"/>
  <c r="I17" i="8"/>
  <c r="I7" i="8"/>
  <c r="H58" i="8"/>
  <c r="H75" i="8"/>
  <c r="H65" i="8"/>
  <c r="H55" i="8"/>
  <c r="H45" i="8"/>
  <c r="H35" i="8"/>
  <c r="H25" i="8"/>
  <c r="H15" i="8"/>
  <c r="F28" i="8"/>
  <c r="G83" i="8"/>
  <c r="G73" i="8"/>
  <c r="G63" i="8"/>
  <c r="G53" i="8"/>
  <c r="G43" i="8"/>
  <c r="G33" i="8"/>
  <c r="G23" i="8"/>
  <c r="G13" i="8"/>
  <c r="H84" i="8"/>
  <c r="I76" i="8"/>
  <c r="I66" i="8"/>
  <c r="I56" i="8"/>
  <c r="I46" i="8"/>
  <c r="I36" i="8"/>
  <c r="I26" i="8"/>
  <c r="I16" i="8"/>
  <c r="I6" i="8"/>
  <c r="H74" i="8"/>
  <c r="H64" i="8"/>
  <c r="H54" i="8"/>
  <c r="H44" i="8"/>
  <c r="H34" i="8"/>
  <c r="H24" i="8"/>
  <c r="H14" i="8"/>
  <c r="G82" i="8"/>
  <c r="G72" i="8"/>
  <c r="G62" i="8"/>
  <c r="G52" i="8"/>
  <c r="G42" i="8"/>
  <c r="G32" i="8"/>
  <c r="G22" i="8"/>
  <c r="G12" i="8"/>
  <c r="I84" i="8"/>
  <c r="I75" i="8"/>
  <c r="I65" i="8"/>
  <c r="I55" i="8"/>
  <c r="I45" i="8"/>
  <c r="I35" i="8"/>
  <c r="I25" i="8"/>
  <c r="I15" i="8"/>
  <c r="I5" i="8"/>
  <c r="H83" i="8"/>
  <c r="H73" i="8"/>
  <c r="H63" i="8"/>
  <c r="H53" i="8"/>
  <c r="H43" i="8"/>
  <c r="H33" i="8"/>
  <c r="H23" i="8"/>
  <c r="H13" i="8"/>
  <c r="I74" i="8"/>
  <c r="I64" i="8"/>
  <c r="I54" i="8"/>
  <c r="I44" i="8"/>
  <c r="I34" i="8"/>
  <c r="I24" i="8"/>
  <c r="I14" i="8"/>
  <c r="I4" i="8"/>
  <c r="H52" i="8"/>
  <c r="H42" i="8"/>
  <c r="H32" i="8"/>
  <c r="H22" i="8"/>
  <c r="H12" i="8"/>
  <c r="J11" i="8"/>
  <c r="H6" i="8"/>
  <c r="E6" i="8"/>
  <c r="R16" i="2"/>
  <c r="Q16" i="2"/>
  <c r="Q17" i="2"/>
  <c r="J8" i="5"/>
  <c r="I8" i="5"/>
  <c r="J9" i="5"/>
  <c r="I9" i="5"/>
  <c r="E251" i="2" l="1"/>
  <c r="E304" i="2"/>
  <c r="HG4" i="8"/>
  <c r="HF4" i="8"/>
  <c r="HF68" i="8"/>
  <c r="HG68" i="8"/>
  <c r="HH68" i="8" s="1"/>
  <c r="GS4" i="9"/>
  <c r="GS5" i="9"/>
  <c r="GS6" i="9"/>
  <c r="GS7" i="9"/>
  <c r="GS8" i="9"/>
  <c r="GS9" i="9"/>
  <c r="GS10" i="9"/>
  <c r="GS11" i="9"/>
  <c r="GS12" i="9"/>
  <c r="GS13" i="9"/>
  <c r="GS14" i="9"/>
  <c r="GS15" i="9"/>
  <c r="GS16" i="9"/>
  <c r="GS17" i="9"/>
  <c r="GS18" i="9"/>
  <c r="GS19" i="9"/>
  <c r="GS20" i="9"/>
  <c r="GS21" i="9"/>
  <c r="GS22" i="9"/>
  <c r="GS23" i="9"/>
  <c r="GS24" i="9"/>
  <c r="GS25" i="9"/>
  <c r="GS26" i="9"/>
  <c r="GS27" i="9"/>
  <c r="GS28" i="9"/>
  <c r="GS29" i="9"/>
  <c r="GS30" i="9"/>
  <c r="GS31" i="9"/>
  <c r="GS32" i="9"/>
  <c r="GS33" i="9"/>
  <c r="GS34" i="9"/>
  <c r="GS35" i="9"/>
  <c r="GS36" i="9"/>
  <c r="GS37" i="9"/>
  <c r="GS38" i="9"/>
  <c r="GS39" i="9"/>
  <c r="GS40" i="9"/>
  <c r="GS41" i="9"/>
  <c r="GS42" i="9"/>
  <c r="GS43" i="9"/>
  <c r="GS44" i="9"/>
  <c r="GS45" i="9"/>
  <c r="GS46" i="9"/>
  <c r="GS47" i="9"/>
  <c r="GS48" i="9"/>
  <c r="GS49" i="9"/>
  <c r="GS50" i="9"/>
  <c r="GS51" i="9"/>
  <c r="GS52" i="9"/>
  <c r="GS53" i="9"/>
  <c r="GS54" i="9"/>
  <c r="GS55" i="9"/>
  <c r="GS56" i="9"/>
  <c r="GS57" i="9"/>
  <c r="GS58" i="9"/>
  <c r="GS59" i="9"/>
  <c r="GS60" i="9"/>
  <c r="GS61" i="9"/>
  <c r="GS62" i="9"/>
  <c r="GS63" i="9"/>
  <c r="GS64" i="9"/>
  <c r="GS65" i="9"/>
  <c r="GS66" i="9"/>
  <c r="GS67" i="9"/>
  <c r="GS68" i="9"/>
  <c r="GS69" i="9"/>
  <c r="GS70" i="9"/>
  <c r="GS71" i="9"/>
  <c r="GS72" i="9"/>
  <c r="GS73" i="9"/>
  <c r="GS74" i="9"/>
  <c r="GS75" i="9"/>
  <c r="GS76" i="9"/>
  <c r="GS77" i="9"/>
  <c r="GS78" i="9"/>
  <c r="GS79" i="9"/>
  <c r="GS80" i="9"/>
  <c r="GS81" i="9"/>
  <c r="GS82" i="9"/>
  <c r="GS83" i="9"/>
  <c r="GS84" i="9"/>
  <c r="E330" i="2"/>
  <c r="E324" i="2"/>
  <c r="E318" i="2"/>
  <c r="E303" i="2"/>
  <c r="E294" i="2"/>
  <c r="E292" i="2"/>
  <c r="E285" i="2"/>
  <c r="E283" i="2"/>
  <c r="E282" i="2"/>
  <c r="O258" i="2"/>
  <c r="D330" i="2"/>
  <c r="D324" i="2"/>
  <c r="D318" i="2"/>
  <c r="E312" i="2"/>
  <c r="D312" i="2"/>
  <c r="D303" i="2"/>
  <c r="D294" i="2"/>
  <c r="D292" i="2"/>
  <c r="D285" i="2"/>
  <c r="D282" i="2"/>
  <c r="O257" i="2"/>
  <c r="K257" i="2"/>
  <c r="GK6" i="8"/>
  <c r="GJ6" i="8"/>
  <c r="GR6" i="8"/>
  <c r="GQ6" i="8"/>
  <c r="GW6" i="8"/>
  <c r="GV6" i="8"/>
  <c r="HB6" i="8"/>
  <c r="HA6" i="8"/>
  <c r="GK4" i="8"/>
  <c r="GJ4" i="8"/>
  <c r="GR4" i="8"/>
  <c r="GQ4" i="8"/>
  <c r="GW4" i="8"/>
  <c r="HB4" i="8"/>
  <c r="GK5" i="8"/>
  <c r="GJ5" i="8"/>
  <c r="GR5" i="8"/>
  <c r="GQ5" i="8"/>
  <c r="GW5" i="8"/>
  <c r="GV5" i="8"/>
  <c r="HB5" i="8"/>
  <c r="HA5" i="8"/>
  <c r="GK7" i="8"/>
  <c r="GJ7" i="8"/>
  <c r="GR7" i="8"/>
  <c r="GQ7" i="8"/>
  <c r="GW7" i="8"/>
  <c r="GV7" i="8"/>
  <c r="HB7" i="8"/>
  <c r="HA7" i="8"/>
  <c r="GK8" i="8"/>
  <c r="GJ8" i="8"/>
  <c r="GR8" i="8"/>
  <c r="GQ8" i="8"/>
  <c r="GW8" i="8"/>
  <c r="GV8" i="8"/>
  <c r="HB8" i="8"/>
  <c r="HA8" i="8"/>
  <c r="GK9" i="8"/>
  <c r="GJ9" i="8"/>
  <c r="GR9" i="8"/>
  <c r="GQ9" i="8"/>
  <c r="GW9" i="8"/>
  <c r="GV9" i="8"/>
  <c r="HB9" i="8"/>
  <c r="HA9" i="8"/>
  <c r="GK10" i="8"/>
  <c r="GJ10" i="8"/>
  <c r="GR10" i="8"/>
  <c r="GQ10" i="8"/>
  <c r="GW10" i="8"/>
  <c r="GV10" i="8"/>
  <c r="HB10" i="8"/>
  <c r="HA10" i="8"/>
  <c r="GK11" i="8"/>
  <c r="GJ11" i="8"/>
  <c r="GR11" i="8"/>
  <c r="GQ11" i="8"/>
  <c r="GW11" i="8"/>
  <c r="GV11" i="8"/>
  <c r="HB11" i="8"/>
  <c r="HA11" i="8"/>
  <c r="GK12" i="8"/>
  <c r="GJ12" i="8"/>
  <c r="GR12" i="8"/>
  <c r="GQ12" i="8"/>
  <c r="GW12" i="8"/>
  <c r="GV12" i="8"/>
  <c r="HB12" i="8"/>
  <c r="HA12" i="8"/>
  <c r="GK13" i="8"/>
  <c r="GJ13" i="8"/>
  <c r="GR13" i="8"/>
  <c r="GQ13" i="8"/>
  <c r="GW13" i="8"/>
  <c r="GV13" i="8"/>
  <c r="HB13" i="8"/>
  <c r="HA13" i="8"/>
  <c r="GK14" i="8"/>
  <c r="GJ14" i="8"/>
  <c r="GR14" i="8"/>
  <c r="GQ14" i="8"/>
  <c r="GW14" i="8"/>
  <c r="GV14" i="8"/>
  <c r="HB14" i="8"/>
  <c r="HA14" i="8"/>
  <c r="GK15" i="8"/>
  <c r="GJ15" i="8"/>
  <c r="GR15" i="8"/>
  <c r="GQ15" i="8"/>
  <c r="GW15" i="8"/>
  <c r="GV15" i="8"/>
  <c r="HB15" i="8"/>
  <c r="HA15" i="8"/>
  <c r="GK16" i="8"/>
  <c r="GJ16" i="8"/>
  <c r="GR16" i="8"/>
  <c r="GQ16" i="8"/>
  <c r="GW16" i="8"/>
  <c r="GV16" i="8"/>
  <c r="HB16" i="8"/>
  <c r="HA16" i="8"/>
  <c r="GK17" i="8"/>
  <c r="GJ17" i="8"/>
  <c r="GR17" i="8"/>
  <c r="GQ17" i="8"/>
  <c r="GW17" i="8"/>
  <c r="GV17" i="8"/>
  <c r="HB17" i="8"/>
  <c r="HA17" i="8"/>
  <c r="GK18" i="8"/>
  <c r="GJ18" i="8"/>
  <c r="GR18" i="8"/>
  <c r="GQ18" i="8"/>
  <c r="GW18" i="8"/>
  <c r="GV18" i="8"/>
  <c r="HB18" i="8"/>
  <c r="HA18" i="8"/>
  <c r="GK19" i="8"/>
  <c r="GJ19" i="8"/>
  <c r="GR19" i="8"/>
  <c r="GQ19" i="8"/>
  <c r="GW19" i="8"/>
  <c r="GV19" i="8"/>
  <c r="HB19" i="8"/>
  <c r="HA19" i="8"/>
  <c r="GK20" i="8"/>
  <c r="GJ20" i="8"/>
  <c r="GR20" i="8"/>
  <c r="GQ20" i="8"/>
  <c r="GW20" i="8"/>
  <c r="GV20" i="8"/>
  <c r="HB20" i="8"/>
  <c r="HA20" i="8"/>
  <c r="GK21" i="8"/>
  <c r="GJ21" i="8"/>
  <c r="GR21" i="8"/>
  <c r="GQ21" i="8"/>
  <c r="GW21" i="8"/>
  <c r="GV21" i="8"/>
  <c r="HB21" i="8"/>
  <c r="HA21" i="8"/>
  <c r="GK22" i="8"/>
  <c r="GJ22" i="8"/>
  <c r="GR22" i="8"/>
  <c r="GQ22" i="8"/>
  <c r="GW22" i="8"/>
  <c r="GV22" i="8"/>
  <c r="HB22" i="8"/>
  <c r="HA22" i="8"/>
  <c r="GK23" i="8"/>
  <c r="GJ23" i="8"/>
  <c r="GR23" i="8"/>
  <c r="GQ23" i="8"/>
  <c r="GW23" i="8"/>
  <c r="GV23" i="8"/>
  <c r="HB23" i="8"/>
  <c r="HA23" i="8"/>
  <c r="GK24" i="8"/>
  <c r="GJ24" i="8"/>
  <c r="GR24" i="8"/>
  <c r="GQ24" i="8"/>
  <c r="GW24" i="8"/>
  <c r="GV24" i="8"/>
  <c r="HB24" i="8"/>
  <c r="HA24" i="8"/>
  <c r="GK25" i="8"/>
  <c r="GJ25" i="8"/>
  <c r="GR25" i="8"/>
  <c r="GQ25" i="8"/>
  <c r="GW25" i="8"/>
  <c r="GV25" i="8"/>
  <c r="HB25" i="8"/>
  <c r="HA25" i="8"/>
  <c r="GK26" i="8"/>
  <c r="GJ26" i="8"/>
  <c r="GR26" i="8"/>
  <c r="GQ26" i="8"/>
  <c r="GW26" i="8"/>
  <c r="GV26" i="8"/>
  <c r="HB26" i="8"/>
  <c r="HA26" i="8"/>
  <c r="GK27" i="8"/>
  <c r="GJ27" i="8"/>
  <c r="GR27" i="8"/>
  <c r="GQ27" i="8"/>
  <c r="GW27" i="8"/>
  <c r="GV27" i="8"/>
  <c r="HB27" i="8"/>
  <c r="HA27" i="8"/>
  <c r="GK28" i="8"/>
  <c r="GJ28" i="8"/>
  <c r="GR28" i="8"/>
  <c r="GQ28" i="8"/>
  <c r="GW28" i="8"/>
  <c r="GV28" i="8"/>
  <c r="HB28" i="8"/>
  <c r="HA28" i="8"/>
  <c r="GK29" i="8"/>
  <c r="GJ29" i="8"/>
  <c r="GR29" i="8"/>
  <c r="GQ29" i="8"/>
  <c r="GW29" i="8"/>
  <c r="GV29" i="8"/>
  <c r="HB29" i="8"/>
  <c r="HA29" i="8"/>
  <c r="GK30" i="8"/>
  <c r="GJ30" i="8"/>
  <c r="GR30" i="8"/>
  <c r="GQ30" i="8"/>
  <c r="GW30" i="8"/>
  <c r="GV30" i="8"/>
  <c r="HB30" i="8"/>
  <c r="HA30" i="8"/>
  <c r="GK31" i="8"/>
  <c r="GJ31" i="8"/>
  <c r="GR31" i="8"/>
  <c r="GQ31" i="8"/>
  <c r="GW31" i="8"/>
  <c r="GV31" i="8"/>
  <c r="HB31" i="8"/>
  <c r="HA31" i="8"/>
  <c r="GK32" i="8"/>
  <c r="GJ32" i="8"/>
  <c r="GR32" i="8"/>
  <c r="GQ32" i="8"/>
  <c r="GW32" i="8"/>
  <c r="GV32" i="8"/>
  <c r="HB32" i="8"/>
  <c r="HA32" i="8"/>
  <c r="GK33" i="8"/>
  <c r="GJ33" i="8"/>
  <c r="GR33" i="8"/>
  <c r="GQ33" i="8"/>
  <c r="GW33" i="8"/>
  <c r="GV33" i="8"/>
  <c r="HB33" i="8"/>
  <c r="HA33" i="8"/>
  <c r="GK34" i="8"/>
  <c r="GJ34" i="8"/>
  <c r="GR34" i="8"/>
  <c r="GQ34" i="8"/>
  <c r="GW34" i="8"/>
  <c r="GV34" i="8"/>
  <c r="HB34" i="8"/>
  <c r="HA34" i="8"/>
  <c r="GK35" i="8"/>
  <c r="GJ35" i="8"/>
  <c r="GR35" i="8"/>
  <c r="GQ35" i="8"/>
  <c r="GW35" i="8"/>
  <c r="GV35" i="8"/>
  <c r="HB35" i="8"/>
  <c r="HA35" i="8"/>
  <c r="GK36" i="8"/>
  <c r="GJ36" i="8"/>
  <c r="GR36" i="8"/>
  <c r="GQ36" i="8"/>
  <c r="GW36" i="8"/>
  <c r="GV36" i="8"/>
  <c r="HB36" i="8"/>
  <c r="HA36" i="8"/>
  <c r="GK37" i="8"/>
  <c r="GJ37" i="8"/>
  <c r="GR37" i="8"/>
  <c r="GQ37" i="8"/>
  <c r="GW37" i="8"/>
  <c r="GV37" i="8"/>
  <c r="HB37" i="8"/>
  <c r="HA37" i="8"/>
  <c r="GK38" i="8"/>
  <c r="GJ38" i="8"/>
  <c r="GR38" i="8"/>
  <c r="GQ38" i="8"/>
  <c r="GW38" i="8"/>
  <c r="GV38" i="8"/>
  <c r="HB38" i="8"/>
  <c r="HA38" i="8"/>
  <c r="GK39" i="8"/>
  <c r="GJ39" i="8"/>
  <c r="GR39" i="8"/>
  <c r="GQ39" i="8"/>
  <c r="GW39" i="8"/>
  <c r="GV39" i="8"/>
  <c r="HB39" i="8"/>
  <c r="HA39" i="8"/>
  <c r="GK40" i="8"/>
  <c r="GJ40" i="8"/>
  <c r="GR40" i="8"/>
  <c r="GQ40" i="8"/>
  <c r="GW40" i="8"/>
  <c r="GV40" i="8"/>
  <c r="HB40" i="8"/>
  <c r="HA40" i="8"/>
  <c r="GK41" i="8"/>
  <c r="GJ41" i="8"/>
  <c r="GR41" i="8"/>
  <c r="GQ41" i="8"/>
  <c r="GW41" i="8"/>
  <c r="GV41" i="8"/>
  <c r="HB41" i="8"/>
  <c r="HA41" i="8"/>
  <c r="GK42" i="8"/>
  <c r="GJ42" i="8"/>
  <c r="GR42" i="8"/>
  <c r="GQ42" i="8"/>
  <c r="GW42" i="8"/>
  <c r="GV42" i="8"/>
  <c r="HB42" i="8"/>
  <c r="HA42" i="8"/>
  <c r="GK43" i="8"/>
  <c r="GJ43" i="8"/>
  <c r="GR43" i="8"/>
  <c r="GQ43" i="8"/>
  <c r="GW43" i="8"/>
  <c r="GV43" i="8"/>
  <c r="HB43" i="8"/>
  <c r="HA43" i="8"/>
  <c r="GK44" i="8"/>
  <c r="GJ44" i="8"/>
  <c r="GR44" i="8"/>
  <c r="GQ44" i="8"/>
  <c r="GW44" i="8"/>
  <c r="GV44" i="8"/>
  <c r="HB44" i="8"/>
  <c r="HA44" i="8"/>
  <c r="GK45" i="8"/>
  <c r="GJ45" i="8"/>
  <c r="GR45" i="8"/>
  <c r="GQ45" i="8"/>
  <c r="GW45" i="8"/>
  <c r="GV45" i="8"/>
  <c r="HB45" i="8"/>
  <c r="HA45" i="8"/>
  <c r="GK46" i="8"/>
  <c r="GJ46" i="8"/>
  <c r="GR46" i="8"/>
  <c r="GQ46" i="8"/>
  <c r="GW46" i="8"/>
  <c r="GV46" i="8"/>
  <c r="HB46" i="8"/>
  <c r="HA46" i="8"/>
  <c r="GK47" i="8"/>
  <c r="GJ47" i="8"/>
  <c r="GR47" i="8"/>
  <c r="GQ47" i="8"/>
  <c r="GW47" i="8"/>
  <c r="GV47" i="8"/>
  <c r="HB47" i="8"/>
  <c r="HA47" i="8"/>
  <c r="GK48" i="8"/>
  <c r="GJ48" i="8"/>
  <c r="GR48" i="8"/>
  <c r="GQ48" i="8"/>
  <c r="GW48" i="8"/>
  <c r="GV48" i="8"/>
  <c r="HB48" i="8"/>
  <c r="HA48" i="8"/>
  <c r="GK49" i="8"/>
  <c r="GJ49" i="8"/>
  <c r="GR49" i="8"/>
  <c r="GQ49" i="8"/>
  <c r="GW49" i="8"/>
  <c r="GV49" i="8"/>
  <c r="HB49" i="8"/>
  <c r="HA49" i="8"/>
  <c r="GK50" i="8"/>
  <c r="GJ50" i="8"/>
  <c r="GR50" i="8"/>
  <c r="GQ50" i="8"/>
  <c r="GW50" i="8"/>
  <c r="GV50" i="8"/>
  <c r="HB50" i="8"/>
  <c r="HA50" i="8"/>
  <c r="GK51" i="8"/>
  <c r="GJ51" i="8"/>
  <c r="GR51" i="8"/>
  <c r="GQ51" i="8"/>
  <c r="GW51" i="8"/>
  <c r="GV51" i="8"/>
  <c r="HB51" i="8"/>
  <c r="HA51" i="8"/>
  <c r="GK52" i="8"/>
  <c r="GJ52" i="8"/>
  <c r="GR52" i="8"/>
  <c r="GQ52" i="8"/>
  <c r="GW52" i="8"/>
  <c r="GV52" i="8"/>
  <c r="HB52" i="8"/>
  <c r="HA52" i="8"/>
  <c r="GK53" i="8"/>
  <c r="GJ53" i="8"/>
  <c r="GR53" i="8"/>
  <c r="GQ53" i="8"/>
  <c r="GW53" i="8"/>
  <c r="GV53" i="8"/>
  <c r="HB53" i="8"/>
  <c r="HA53" i="8"/>
  <c r="GK54" i="8"/>
  <c r="GJ54" i="8"/>
  <c r="GR54" i="8"/>
  <c r="GQ54" i="8"/>
  <c r="GW54" i="8"/>
  <c r="GV54" i="8"/>
  <c r="HB54" i="8"/>
  <c r="HA54" i="8"/>
  <c r="GK55" i="8"/>
  <c r="GJ55" i="8"/>
  <c r="GR55" i="8"/>
  <c r="GQ55" i="8"/>
  <c r="GW55" i="8"/>
  <c r="GV55" i="8"/>
  <c r="HB55" i="8"/>
  <c r="HA55" i="8"/>
  <c r="GK56" i="8"/>
  <c r="GJ56" i="8"/>
  <c r="GR56" i="8"/>
  <c r="GQ56" i="8"/>
  <c r="GW56" i="8"/>
  <c r="GV56" i="8"/>
  <c r="HB56" i="8"/>
  <c r="HA56" i="8"/>
  <c r="GK57" i="8"/>
  <c r="GJ57" i="8"/>
  <c r="GR57" i="8"/>
  <c r="GQ57" i="8"/>
  <c r="GW57" i="8"/>
  <c r="GV57" i="8"/>
  <c r="HB57" i="8"/>
  <c r="HA57" i="8"/>
  <c r="GK58" i="8"/>
  <c r="GJ58" i="8"/>
  <c r="GR58" i="8"/>
  <c r="GQ58" i="8"/>
  <c r="GW58" i="8"/>
  <c r="GV58" i="8"/>
  <c r="HB58" i="8"/>
  <c r="HA58" i="8"/>
  <c r="GK59" i="8"/>
  <c r="GJ59" i="8"/>
  <c r="GR59" i="8"/>
  <c r="GQ59" i="8"/>
  <c r="GW59" i="8"/>
  <c r="GV59" i="8"/>
  <c r="HB59" i="8"/>
  <c r="HA59" i="8"/>
  <c r="GK60" i="8"/>
  <c r="GJ60" i="8"/>
  <c r="GR60" i="8"/>
  <c r="GQ60" i="8"/>
  <c r="GW60" i="8"/>
  <c r="GV60" i="8"/>
  <c r="HB60" i="8"/>
  <c r="HA60" i="8"/>
  <c r="GK61" i="8"/>
  <c r="GJ61" i="8"/>
  <c r="GR61" i="8"/>
  <c r="GQ61" i="8"/>
  <c r="GW61" i="8"/>
  <c r="GV61" i="8"/>
  <c r="HB61" i="8"/>
  <c r="HA61" i="8"/>
  <c r="GK62" i="8"/>
  <c r="GJ62" i="8"/>
  <c r="GR62" i="8"/>
  <c r="GQ62" i="8"/>
  <c r="GW62" i="8"/>
  <c r="GV62" i="8"/>
  <c r="HB62" i="8"/>
  <c r="HA62" i="8"/>
  <c r="GK63" i="8"/>
  <c r="GJ63" i="8"/>
  <c r="GR63" i="8"/>
  <c r="GQ63" i="8"/>
  <c r="GW63" i="8"/>
  <c r="GV63" i="8"/>
  <c r="HB63" i="8"/>
  <c r="HA63" i="8"/>
  <c r="GK64" i="8"/>
  <c r="GJ64" i="8"/>
  <c r="GR64" i="8"/>
  <c r="GQ64" i="8"/>
  <c r="GW64" i="8"/>
  <c r="GV64" i="8"/>
  <c r="HB64" i="8"/>
  <c r="HA64" i="8"/>
  <c r="GK65" i="8"/>
  <c r="GJ65" i="8"/>
  <c r="GR65" i="8"/>
  <c r="GQ65" i="8"/>
  <c r="GW65" i="8"/>
  <c r="GV65" i="8"/>
  <c r="HB65" i="8"/>
  <c r="HA65" i="8"/>
  <c r="GK66" i="8"/>
  <c r="GJ66" i="8"/>
  <c r="GR66" i="8"/>
  <c r="GQ66" i="8"/>
  <c r="GW66" i="8"/>
  <c r="GV66" i="8"/>
  <c r="HB66" i="8"/>
  <c r="HA66" i="8"/>
  <c r="GK67" i="8"/>
  <c r="GJ67" i="8"/>
  <c r="GR67" i="8"/>
  <c r="GQ67" i="8"/>
  <c r="GW67" i="8"/>
  <c r="GV67" i="8"/>
  <c r="HB67" i="8"/>
  <c r="HA67" i="8"/>
  <c r="GK68" i="8"/>
  <c r="GJ68" i="8"/>
  <c r="GR68" i="8"/>
  <c r="GQ68" i="8"/>
  <c r="GW68" i="8"/>
  <c r="GV68" i="8"/>
  <c r="HB68" i="8"/>
  <c r="HA68" i="8"/>
  <c r="GK69" i="8"/>
  <c r="GJ69" i="8"/>
  <c r="GR69" i="8"/>
  <c r="GQ69" i="8"/>
  <c r="GW69" i="8"/>
  <c r="GV69" i="8"/>
  <c r="HB69" i="8"/>
  <c r="HA69" i="8"/>
  <c r="GK70" i="8"/>
  <c r="GJ70" i="8"/>
  <c r="GR70" i="8"/>
  <c r="GQ70" i="8"/>
  <c r="GW70" i="8"/>
  <c r="GV70" i="8"/>
  <c r="HB70" i="8"/>
  <c r="HA70" i="8"/>
  <c r="GK71" i="8"/>
  <c r="GJ71" i="8"/>
  <c r="GR71" i="8"/>
  <c r="GQ71" i="8"/>
  <c r="GW71" i="8"/>
  <c r="GV71" i="8"/>
  <c r="HB71" i="8"/>
  <c r="HA71" i="8"/>
  <c r="GK72" i="8"/>
  <c r="GJ72" i="8"/>
  <c r="GR72" i="8"/>
  <c r="GQ72" i="8"/>
  <c r="GW72" i="8"/>
  <c r="GV72" i="8"/>
  <c r="HB72" i="8"/>
  <c r="HA72" i="8"/>
  <c r="GK73" i="8"/>
  <c r="GJ73" i="8"/>
  <c r="GR73" i="8"/>
  <c r="GQ73" i="8"/>
  <c r="GW73" i="8"/>
  <c r="GV73" i="8"/>
  <c r="HB73" i="8"/>
  <c r="HA73" i="8"/>
  <c r="GK74" i="8"/>
  <c r="GJ74" i="8"/>
  <c r="GR74" i="8"/>
  <c r="GQ74" i="8"/>
  <c r="GW74" i="8"/>
  <c r="GV74" i="8"/>
  <c r="HB74" i="8"/>
  <c r="HA74" i="8"/>
  <c r="GK75" i="8"/>
  <c r="GJ75" i="8"/>
  <c r="GR75" i="8"/>
  <c r="GQ75" i="8"/>
  <c r="GW75" i="8"/>
  <c r="GV75" i="8"/>
  <c r="HB75" i="8"/>
  <c r="HA75" i="8"/>
  <c r="GK76" i="8"/>
  <c r="GJ76" i="8"/>
  <c r="GR76" i="8"/>
  <c r="GQ76" i="8"/>
  <c r="GW76" i="8"/>
  <c r="GV76" i="8"/>
  <c r="HB76" i="8"/>
  <c r="HA76" i="8"/>
  <c r="GJ77" i="8"/>
  <c r="GK77" i="8"/>
  <c r="GL77" i="8" s="1"/>
  <c r="GR77" i="8"/>
  <c r="GQ77" i="8"/>
  <c r="GW77" i="8"/>
  <c r="GV77" i="8"/>
  <c r="HB77" i="8"/>
  <c r="HA77" i="8"/>
  <c r="GK78" i="8"/>
  <c r="GJ78" i="8"/>
  <c r="GR78" i="8"/>
  <c r="GQ78" i="8"/>
  <c r="GW78" i="8"/>
  <c r="GV78" i="8"/>
  <c r="HB78" i="8"/>
  <c r="HA78" i="8"/>
  <c r="GK79" i="8"/>
  <c r="GJ79" i="8"/>
  <c r="GR79" i="8"/>
  <c r="GQ79" i="8"/>
  <c r="GW79" i="8"/>
  <c r="GV79" i="8"/>
  <c r="HB79" i="8"/>
  <c r="HA79" i="8"/>
  <c r="GK80" i="8"/>
  <c r="GJ80" i="8"/>
  <c r="GR80" i="8"/>
  <c r="GQ80" i="8"/>
  <c r="GW80" i="8"/>
  <c r="GV80" i="8"/>
  <c r="HB80" i="8"/>
  <c r="HA80" i="8"/>
  <c r="GK81" i="8"/>
  <c r="GJ81" i="8"/>
  <c r="GR81" i="8"/>
  <c r="GQ81" i="8"/>
  <c r="GW81" i="8"/>
  <c r="GV81" i="8"/>
  <c r="HB81" i="8"/>
  <c r="HA81" i="8"/>
  <c r="GK82" i="8"/>
  <c r="GJ82" i="8"/>
  <c r="GR82" i="8"/>
  <c r="GQ82" i="8"/>
  <c r="GW82" i="8"/>
  <c r="GV82" i="8"/>
  <c r="HB82" i="8"/>
  <c r="HA82" i="8"/>
  <c r="GK83" i="8"/>
  <c r="GJ83" i="8"/>
  <c r="GR83" i="8"/>
  <c r="GQ83" i="8"/>
  <c r="GW83" i="8"/>
  <c r="GV83" i="8"/>
  <c r="HB83" i="8"/>
  <c r="HA83" i="8"/>
  <c r="GK84" i="8"/>
  <c r="GJ84" i="8"/>
  <c r="GR84" i="8"/>
  <c r="GQ84" i="8"/>
  <c r="GW84" i="8"/>
  <c r="GV84" i="8"/>
  <c r="HB84" i="8"/>
  <c r="HA84" i="8"/>
  <c r="GC6" i="8"/>
  <c r="GB6" i="8"/>
  <c r="FU5" i="8"/>
  <c r="FT5" i="8"/>
  <c r="FU6" i="8"/>
  <c r="FT6" i="8"/>
  <c r="FU7" i="8"/>
  <c r="FT7" i="8"/>
  <c r="FU8" i="8"/>
  <c r="FT8" i="8"/>
  <c r="FU9" i="8"/>
  <c r="FT9" i="8"/>
  <c r="FU10" i="8"/>
  <c r="FT10" i="8"/>
  <c r="FU11" i="8"/>
  <c r="FT11" i="8"/>
  <c r="FU12" i="8"/>
  <c r="FT12" i="8"/>
  <c r="FU13" i="8"/>
  <c r="FT13" i="8"/>
  <c r="FU14" i="8"/>
  <c r="FT14" i="8"/>
  <c r="FU15" i="8"/>
  <c r="FT15" i="8"/>
  <c r="FU16" i="8"/>
  <c r="FT16" i="8"/>
  <c r="FU17" i="8"/>
  <c r="FT17" i="8"/>
  <c r="FU18" i="8"/>
  <c r="FT18" i="8"/>
  <c r="FU19" i="8"/>
  <c r="FT19" i="8"/>
  <c r="FU20" i="8"/>
  <c r="FT20" i="8"/>
  <c r="FU21" i="8"/>
  <c r="FT21" i="8"/>
  <c r="FU22" i="8"/>
  <c r="FT22" i="8"/>
  <c r="FU23" i="8"/>
  <c r="FT23" i="8"/>
  <c r="FU24" i="8"/>
  <c r="FT24" i="8"/>
  <c r="FU25" i="8"/>
  <c r="FT25" i="8"/>
  <c r="FU26" i="8"/>
  <c r="FT26" i="8"/>
  <c r="FU27" i="8"/>
  <c r="FT27" i="8"/>
  <c r="FU28" i="8"/>
  <c r="FT28" i="8"/>
  <c r="FU29" i="8"/>
  <c r="FT29" i="8"/>
  <c r="FU30" i="8"/>
  <c r="FT30" i="8"/>
  <c r="FU31" i="8"/>
  <c r="FT31" i="8"/>
  <c r="FU32" i="8"/>
  <c r="FT32" i="8"/>
  <c r="FU33" i="8"/>
  <c r="FT33" i="8"/>
  <c r="FU34" i="8"/>
  <c r="FT34" i="8"/>
  <c r="FU35" i="8"/>
  <c r="FT35" i="8"/>
  <c r="FU36" i="8"/>
  <c r="FT36" i="8"/>
  <c r="FU37" i="8"/>
  <c r="FT37" i="8"/>
  <c r="FU38" i="8"/>
  <c r="FT38" i="8"/>
  <c r="FU39" i="8"/>
  <c r="FT39" i="8"/>
  <c r="FU40" i="8"/>
  <c r="FT40" i="8"/>
  <c r="FU41" i="8"/>
  <c r="FT41" i="8"/>
  <c r="FU42" i="8"/>
  <c r="FT42" i="8"/>
  <c r="FU43" i="8"/>
  <c r="FT43" i="8"/>
  <c r="FU44" i="8"/>
  <c r="FT44" i="8"/>
  <c r="FU45" i="8"/>
  <c r="FT45" i="8"/>
  <c r="FU46" i="8"/>
  <c r="FT46" i="8"/>
  <c r="FU47" i="8"/>
  <c r="FT47" i="8"/>
  <c r="FU48" i="8"/>
  <c r="FT48" i="8"/>
  <c r="FU49" i="8"/>
  <c r="FT49" i="8"/>
  <c r="FU50" i="8"/>
  <c r="FT50" i="8"/>
  <c r="FU51" i="8"/>
  <c r="FT51" i="8"/>
  <c r="FU52" i="8"/>
  <c r="FT52" i="8"/>
  <c r="FU53" i="8"/>
  <c r="FT53" i="8"/>
  <c r="FU54" i="8"/>
  <c r="FT54" i="8"/>
  <c r="FU55" i="8"/>
  <c r="FT55" i="8"/>
  <c r="FU56" i="8"/>
  <c r="FT56" i="8"/>
  <c r="FU57" i="8"/>
  <c r="FT57" i="8"/>
  <c r="FU58" i="8"/>
  <c r="FT58" i="8"/>
  <c r="FU59" i="8"/>
  <c r="FT59" i="8"/>
  <c r="FU60" i="8"/>
  <c r="FT60" i="8"/>
  <c r="FU61" i="8"/>
  <c r="FT61" i="8"/>
  <c r="FU62" i="8"/>
  <c r="FT62" i="8"/>
  <c r="FU63" i="8"/>
  <c r="FT63" i="8"/>
  <c r="FU64" i="8"/>
  <c r="FT64" i="8"/>
  <c r="FU65" i="8"/>
  <c r="FT65" i="8"/>
  <c r="FU66" i="8"/>
  <c r="FT66" i="8"/>
  <c r="FU67" i="8"/>
  <c r="FT67" i="8"/>
  <c r="FU68" i="8"/>
  <c r="FT68" i="8"/>
  <c r="FU69" i="8"/>
  <c r="FT69" i="8"/>
  <c r="FU70" i="8"/>
  <c r="FT70" i="8"/>
  <c r="FU71" i="8"/>
  <c r="FT71" i="8"/>
  <c r="FU72" i="8"/>
  <c r="FT72" i="8"/>
  <c r="FU73" i="8"/>
  <c r="FT73" i="8"/>
  <c r="FU74" i="8"/>
  <c r="FT74" i="8"/>
  <c r="FU75" i="8"/>
  <c r="FT75" i="8"/>
  <c r="FU76" i="8"/>
  <c r="FT76" i="8"/>
  <c r="FU77" i="8"/>
  <c r="FT77" i="8"/>
  <c r="FU78" i="8"/>
  <c r="FT78" i="8"/>
  <c r="FU79" i="8"/>
  <c r="FT79" i="8"/>
  <c r="FU80" i="8"/>
  <c r="FT80" i="8"/>
  <c r="FU81" i="8"/>
  <c r="FT81" i="8"/>
  <c r="FU82" i="8"/>
  <c r="FT82" i="8"/>
  <c r="FU83" i="8"/>
  <c r="FT83" i="8"/>
  <c r="FU84" i="8"/>
  <c r="FT84" i="8"/>
  <c r="FT4" i="8"/>
  <c r="FU4" i="8"/>
  <c r="FV4" i="8" s="1"/>
  <c r="GC4" i="8"/>
  <c r="GB4" i="8"/>
  <c r="GC5" i="8"/>
  <c r="GB5" i="8"/>
  <c r="GC7" i="8"/>
  <c r="GB7" i="8"/>
  <c r="GC8" i="8"/>
  <c r="GB8" i="8"/>
  <c r="GC9" i="8"/>
  <c r="GB9" i="8"/>
  <c r="GC10" i="8"/>
  <c r="GB10" i="8"/>
  <c r="GC11" i="8"/>
  <c r="GB11" i="8"/>
  <c r="GC12" i="8"/>
  <c r="GB12" i="8"/>
  <c r="GC13" i="8"/>
  <c r="GB13" i="8"/>
  <c r="GC14" i="8"/>
  <c r="GB14" i="8"/>
  <c r="GC15" i="8"/>
  <c r="GB15" i="8"/>
  <c r="GC16" i="8"/>
  <c r="GB16" i="8"/>
  <c r="GC17" i="8"/>
  <c r="GB17" i="8"/>
  <c r="GC18" i="8"/>
  <c r="GB18" i="8"/>
  <c r="GC19" i="8"/>
  <c r="GB19" i="8"/>
  <c r="GC20" i="8"/>
  <c r="GB20" i="8"/>
  <c r="GC21" i="8"/>
  <c r="GB21" i="8"/>
  <c r="GC22" i="8"/>
  <c r="GB22" i="8"/>
  <c r="GC23" i="8"/>
  <c r="GB23" i="8"/>
  <c r="GC24" i="8"/>
  <c r="GB24" i="8"/>
  <c r="GC25" i="8"/>
  <c r="GB25" i="8"/>
  <c r="GC26" i="8"/>
  <c r="GB26" i="8"/>
  <c r="GC27" i="8"/>
  <c r="GB27" i="8"/>
  <c r="GC28" i="8"/>
  <c r="GB28" i="8"/>
  <c r="GC29" i="8"/>
  <c r="GB29" i="8"/>
  <c r="GC30" i="8"/>
  <c r="GB30" i="8"/>
  <c r="GC31" i="8"/>
  <c r="GB31" i="8"/>
  <c r="GC32" i="8"/>
  <c r="GB32" i="8"/>
  <c r="GC33" i="8"/>
  <c r="GB33" i="8"/>
  <c r="GC34" i="8"/>
  <c r="GB34" i="8"/>
  <c r="GC35" i="8"/>
  <c r="GB35" i="8"/>
  <c r="GC36" i="8"/>
  <c r="GB36" i="8"/>
  <c r="GC37" i="8"/>
  <c r="GB37" i="8"/>
  <c r="GC38" i="8"/>
  <c r="GB38" i="8"/>
  <c r="GC39" i="8"/>
  <c r="GB39" i="8"/>
  <c r="GC40" i="8"/>
  <c r="GB40" i="8"/>
  <c r="GC41" i="8"/>
  <c r="GB41" i="8"/>
  <c r="GC42" i="8"/>
  <c r="GB42" i="8"/>
  <c r="GC43" i="8"/>
  <c r="GB43" i="8"/>
  <c r="GC44" i="8"/>
  <c r="GB44" i="8"/>
  <c r="GC45" i="8"/>
  <c r="GB45" i="8"/>
  <c r="GC46" i="8"/>
  <c r="GB46" i="8"/>
  <c r="GC47" i="8"/>
  <c r="GB47" i="8"/>
  <c r="GC48" i="8"/>
  <c r="GB48" i="8"/>
  <c r="GC49" i="8"/>
  <c r="GB49" i="8"/>
  <c r="GC50" i="8"/>
  <c r="GB50" i="8"/>
  <c r="GC51" i="8"/>
  <c r="GB51" i="8"/>
  <c r="GC52" i="8"/>
  <c r="GB52" i="8"/>
  <c r="GC53" i="8"/>
  <c r="GB53" i="8"/>
  <c r="GC54" i="8"/>
  <c r="GB54" i="8"/>
  <c r="GC55" i="8"/>
  <c r="GB55" i="8"/>
  <c r="GC56" i="8"/>
  <c r="GB56" i="8"/>
  <c r="GC57" i="8"/>
  <c r="GB57" i="8"/>
  <c r="GC58" i="8"/>
  <c r="GB58" i="8"/>
  <c r="GC59" i="8"/>
  <c r="GB59" i="8"/>
  <c r="GC60" i="8"/>
  <c r="GB60" i="8"/>
  <c r="GC61" i="8"/>
  <c r="GB61" i="8"/>
  <c r="GC62" i="8"/>
  <c r="GB62" i="8"/>
  <c r="GC63" i="8"/>
  <c r="GB63" i="8"/>
  <c r="GC64" i="8"/>
  <c r="GB64" i="8"/>
  <c r="GC65" i="8"/>
  <c r="GB65" i="8"/>
  <c r="GC66" i="8"/>
  <c r="GB66" i="8"/>
  <c r="GC67" i="8"/>
  <c r="GB67" i="8"/>
  <c r="GC68" i="8"/>
  <c r="GB68" i="8"/>
  <c r="GC69" i="8"/>
  <c r="GB69" i="8"/>
  <c r="GC70" i="8"/>
  <c r="GB70" i="8"/>
  <c r="GC71" i="8"/>
  <c r="GB71" i="8"/>
  <c r="GC72" i="8"/>
  <c r="GB72" i="8"/>
  <c r="GC73" i="8"/>
  <c r="GB73" i="8"/>
  <c r="GC74" i="8"/>
  <c r="GB74" i="8"/>
  <c r="GC75" i="8"/>
  <c r="GB75" i="8"/>
  <c r="GC76" i="8"/>
  <c r="GB76" i="8"/>
  <c r="GC77" i="8"/>
  <c r="GB77" i="8"/>
  <c r="GC78" i="8"/>
  <c r="GB78" i="8"/>
  <c r="GC79" i="8"/>
  <c r="GB79" i="8"/>
  <c r="GC80" i="8"/>
  <c r="GB80" i="8"/>
  <c r="GC81" i="8"/>
  <c r="GB81" i="8"/>
  <c r="GC82" i="8"/>
  <c r="GB82" i="8"/>
  <c r="GC83" i="8"/>
  <c r="GB83" i="8"/>
  <c r="GC84" i="8"/>
  <c r="GB84" i="8"/>
  <c r="FX4" i="9"/>
  <c r="FX5" i="9"/>
  <c r="FX6" i="9"/>
  <c r="FX7" i="9"/>
  <c r="FX8" i="9"/>
  <c r="FX9" i="9"/>
  <c r="FX10" i="9"/>
  <c r="FX11" i="9"/>
  <c r="FX12" i="9"/>
  <c r="FX13" i="9"/>
  <c r="FX14" i="9"/>
  <c r="FX15" i="9"/>
  <c r="FX16" i="9"/>
  <c r="FX17" i="9"/>
  <c r="FX18" i="9"/>
  <c r="FX19" i="9"/>
  <c r="FX20" i="9"/>
  <c r="FX21" i="9"/>
  <c r="FX22" i="9"/>
  <c r="FX23" i="9"/>
  <c r="FX24" i="9"/>
  <c r="FX25" i="9"/>
  <c r="FX26" i="9"/>
  <c r="FX27" i="9"/>
  <c r="FX28" i="9"/>
  <c r="FX29" i="9"/>
  <c r="FX30" i="9"/>
  <c r="FX31" i="9"/>
  <c r="FX32" i="9"/>
  <c r="FX33" i="9"/>
  <c r="FX34" i="9"/>
  <c r="FX35" i="9"/>
  <c r="FX36" i="9"/>
  <c r="FX37" i="9"/>
  <c r="FX38" i="9"/>
  <c r="FX39" i="9"/>
  <c r="FX40" i="9"/>
  <c r="FX41" i="9"/>
  <c r="FX42" i="9"/>
  <c r="FX43" i="9"/>
  <c r="FX44" i="9"/>
  <c r="FX45" i="9"/>
  <c r="FX46" i="9"/>
  <c r="FX47" i="9"/>
  <c r="FX48" i="9"/>
  <c r="FX49" i="9"/>
  <c r="FX50" i="9"/>
  <c r="FX51" i="9"/>
  <c r="FX52" i="9"/>
  <c r="FX53" i="9"/>
  <c r="FX54" i="9"/>
  <c r="FX55" i="9"/>
  <c r="FX56" i="9"/>
  <c r="FX57" i="9"/>
  <c r="FX58" i="9"/>
  <c r="FX59" i="9"/>
  <c r="FX60" i="9"/>
  <c r="FX61" i="9"/>
  <c r="FX62" i="9"/>
  <c r="FX63" i="9"/>
  <c r="FX64" i="9"/>
  <c r="FX65" i="9"/>
  <c r="FX66" i="9"/>
  <c r="FX67" i="9"/>
  <c r="FX68" i="9"/>
  <c r="FX69" i="9"/>
  <c r="FX70" i="9"/>
  <c r="FX71" i="9"/>
  <c r="FX72" i="9"/>
  <c r="FX73" i="9"/>
  <c r="FX74" i="9"/>
  <c r="FX75" i="9"/>
  <c r="FX76" i="9"/>
  <c r="FX77" i="9"/>
  <c r="FX78" i="9"/>
  <c r="FX79" i="9"/>
  <c r="FX80" i="9"/>
  <c r="FX81" i="9"/>
  <c r="FX82" i="9"/>
  <c r="FX83" i="9"/>
  <c r="FX84" i="9"/>
  <c r="FN4" i="9"/>
  <c r="FM4" i="9"/>
  <c r="FN5" i="9"/>
  <c r="FM5" i="9"/>
  <c r="FN6" i="9"/>
  <c r="FM6" i="9"/>
  <c r="FN7" i="9"/>
  <c r="FM7" i="9"/>
  <c r="FN8" i="9"/>
  <c r="FM8" i="9"/>
  <c r="FN9" i="9"/>
  <c r="FM9" i="9"/>
  <c r="FN10" i="9"/>
  <c r="FM10" i="9"/>
  <c r="FN11" i="9"/>
  <c r="FM11" i="9"/>
  <c r="FN12" i="9"/>
  <c r="FM12" i="9"/>
  <c r="FN13" i="9"/>
  <c r="FM13" i="9"/>
  <c r="FN14" i="9"/>
  <c r="FM14" i="9"/>
  <c r="FN15" i="9"/>
  <c r="FM15" i="9"/>
  <c r="FN16" i="9"/>
  <c r="FM16" i="9"/>
  <c r="FN17" i="9"/>
  <c r="FM17" i="9"/>
  <c r="FN18" i="9"/>
  <c r="FM18" i="9"/>
  <c r="FN19" i="9"/>
  <c r="FM19" i="9"/>
  <c r="FN20" i="9"/>
  <c r="FM20" i="9"/>
  <c r="FN21" i="9"/>
  <c r="FM21" i="9"/>
  <c r="FN22" i="9"/>
  <c r="FM22" i="9"/>
  <c r="FN23" i="9"/>
  <c r="FM23" i="9"/>
  <c r="FN24" i="9"/>
  <c r="FM24" i="9"/>
  <c r="FN25" i="9"/>
  <c r="FM25" i="9"/>
  <c r="FN26" i="9"/>
  <c r="FM26" i="9"/>
  <c r="FN27" i="9"/>
  <c r="FM27" i="9"/>
  <c r="FN28" i="9"/>
  <c r="FM28" i="9"/>
  <c r="FN29" i="9"/>
  <c r="FM29" i="9"/>
  <c r="FN30" i="9"/>
  <c r="FM30" i="9"/>
  <c r="FN31" i="9"/>
  <c r="FM31" i="9"/>
  <c r="FN32" i="9"/>
  <c r="FM32" i="9"/>
  <c r="FN33" i="9"/>
  <c r="FM33" i="9"/>
  <c r="FN34" i="9"/>
  <c r="FM34" i="9"/>
  <c r="FN35" i="9"/>
  <c r="FM35" i="9"/>
  <c r="FN36" i="9"/>
  <c r="FM36" i="9"/>
  <c r="FN37" i="9"/>
  <c r="FM37" i="9"/>
  <c r="FN38" i="9"/>
  <c r="FM38" i="9"/>
  <c r="FN39" i="9"/>
  <c r="FM39" i="9"/>
  <c r="FN40" i="9"/>
  <c r="FM40" i="9"/>
  <c r="FN41" i="9"/>
  <c r="FM41" i="9"/>
  <c r="FN42" i="9"/>
  <c r="FM42" i="9"/>
  <c r="FN43" i="9"/>
  <c r="FM43" i="9"/>
  <c r="FN44" i="9"/>
  <c r="FM44" i="9"/>
  <c r="FN45" i="9"/>
  <c r="FM45" i="9"/>
  <c r="FN46" i="9"/>
  <c r="FM46" i="9"/>
  <c r="FN47" i="9"/>
  <c r="FM47" i="9"/>
  <c r="FN48" i="9"/>
  <c r="FM48" i="9"/>
  <c r="FN49" i="9"/>
  <c r="FM49" i="9"/>
  <c r="FN50" i="9"/>
  <c r="FM50" i="9"/>
  <c r="FN51" i="9"/>
  <c r="FM51" i="9"/>
  <c r="FN52" i="9"/>
  <c r="FM52" i="9"/>
  <c r="FN53" i="9"/>
  <c r="FM53" i="9"/>
  <c r="FN54" i="9"/>
  <c r="FM54" i="9"/>
  <c r="FN55" i="9"/>
  <c r="FM55" i="9"/>
  <c r="FN56" i="9"/>
  <c r="FM56" i="9"/>
  <c r="FN57" i="9"/>
  <c r="FM57" i="9"/>
  <c r="FN58" i="9"/>
  <c r="FM58" i="9"/>
  <c r="FN59" i="9"/>
  <c r="FM59" i="9"/>
  <c r="FN60" i="9"/>
  <c r="FM60" i="9"/>
  <c r="FN61" i="9"/>
  <c r="FM61" i="9"/>
  <c r="FN62" i="9"/>
  <c r="FM62" i="9"/>
  <c r="FN63" i="9"/>
  <c r="FM63" i="9"/>
  <c r="FN64" i="9"/>
  <c r="FM64" i="9"/>
  <c r="FN65" i="9"/>
  <c r="FM65" i="9"/>
  <c r="FN66" i="9"/>
  <c r="FM66" i="9"/>
  <c r="FN67" i="9"/>
  <c r="FM67" i="9"/>
  <c r="FN68" i="9"/>
  <c r="FM68" i="9"/>
  <c r="FN69" i="9"/>
  <c r="FM69" i="9"/>
  <c r="FN70" i="9"/>
  <c r="FM70" i="9"/>
  <c r="FN71" i="9"/>
  <c r="FM71" i="9"/>
  <c r="FN72" i="9"/>
  <c r="FM72" i="9"/>
  <c r="FN73" i="9"/>
  <c r="FM73" i="9"/>
  <c r="FN74" i="9"/>
  <c r="FM74" i="9"/>
  <c r="FN75" i="9"/>
  <c r="FM75" i="9"/>
  <c r="FN76" i="9"/>
  <c r="FM76" i="9"/>
  <c r="FN77" i="9"/>
  <c r="FM77" i="9"/>
  <c r="FN78" i="9"/>
  <c r="FM78" i="9"/>
  <c r="FN79" i="9"/>
  <c r="FM79" i="9"/>
  <c r="FN80" i="9"/>
  <c r="FM80" i="9"/>
  <c r="FN81" i="9"/>
  <c r="FM81" i="9"/>
  <c r="FN82" i="9"/>
  <c r="FM82" i="9"/>
  <c r="FN83" i="9"/>
  <c r="FM83" i="9"/>
  <c r="FN84" i="9"/>
  <c r="FM84" i="9"/>
  <c r="DZ4" i="9"/>
  <c r="DY4" i="9"/>
  <c r="FG6" i="8"/>
  <c r="FG5" i="8"/>
  <c r="FG7" i="8"/>
  <c r="FG8" i="8"/>
  <c r="FG9" i="8"/>
  <c r="FG10" i="8"/>
  <c r="FG11" i="8"/>
  <c r="FG12" i="8"/>
  <c r="FG13" i="8"/>
  <c r="FG14" i="8"/>
  <c r="FG15" i="8"/>
  <c r="FG16" i="8"/>
  <c r="FG17" i="8"/>
  <c r="FG18" i="8"/>
  <c r="FG19" i="8"/>
  <c r="FG20" i="8"/>
  <c r="FG21" i="8"/>
  <c r="FG22" i="8"/>
  <c r="FG23" i="8"/>
  <c r="FG24" i="8"/>
  <c r="FG25" i="8"/>
  <c r="FG26" i="8"/>
  <c r="FG27" i="8"/>
  <c r="FG28" i="8"/>
  <c r="FG29" i="8"/>
  <c r="FG30" i="8"/>
  <c r="FG31" i="8"/>
  <c r="FG32" i="8"/>
  <c r="FG33" i="8"/>
  <c r="FG34" i="8"/>
  <c r="FG35" i="8"/>
  <c r="FG36" i="8"/>
  <c r="FG37" i="8"/>
  <c r="FG38" i="8"/>
  <c r="FG39" i="8"/>
  <c r="FG40" i="8"/>
  <c r="FG41" i="8"/>
  <c r="FG42" i="8"/>
  <c r="FG43" i="8"/>
  <c r="FG44" i="8"/>
  <c r="FG45" i="8"/>
  <c r="FG46" i="8"/>
  <c r="FG47" i="8"/>
  <c r="FG48" i="8"/>
  <c r="FG49" i="8"/>
  <c r="FG50" i="8"/>
  <c r="FG51" i="8"/>
  <c r="FG52" i="8"/>
  <c r="FG53" i="8"/>
  <c r="FG54" i="8"/>
  <c r="FG55" i="8"/>
  <c r="FG56" i="8"/>
  <c r="FG57" i="8"/>
  <c r="FG58" i="8"/>
  <c r="FG59" i="8"/>
  <c r="FG60" i="8"/>
  <c r="FG61" i="8"/>
  <c r="FG62" i="8"/>
  <c r="FG63" i="8"/>
  <c r="FG64" i="8"/>
  <c r="FG65" i="8"/>
  <c r="FG66" i="8"/>
  <c r="FG67" i="8"/>
  <c r="FG68" i="8"/>
  <c r="FG69" i="8"/>
  <c r="FG70" i="8"/>
  <c r="FG71" i="8"/>
  <c r="FG72" i="8"/>
  <c r="FG73" i="8"/>
  <c r="FG74" i="8"/>
  <c r="FG75" i="8"/>
  <c r="FG76" i="8"/>
  <c r="FG77" i="8"/>
  <c r="FG78" i="8"/>
  <c r="FG79" i="8"/>
  <c r="FG80" i="8"/>
  <c r="FG81" i="8"/>
  <c r="FG82" i="8"/>
  <c r="FG83" i="8"/>
  <c r="FG84" i="8"/>
  <c r="FL4" i="8"/>
  <c r="FK4" i="8"/>
  <c r="EW6" i="8"/>
  <c r="EV6" i="8"/>
  <c r="FB6" i="8"/>
  <c r="FA6" i="8"/>
  <c r="EW4" i="8"/>
  <c r="EV4" i="8"/>
  <c r="FB4" i="8"/>
  <c r="FA4" i="8"/>
  <c r="EW5" i="8"/>
  <c r="EV5" i="8"/>
  <c r="FB5" i="8"/>
  <c r="FA5" i="8"/>
  <c r="EW7" i="8"/>
  <c r="EV7" i="8"/>
  <c r="FB7" i="8"/>
  <c r="FA7" i="8"/>
  <c r="EW8" i="8"/>
  <c r="EV8" i="8"/>
  <c r="FB8" i="8"/>
  <c r="FA8" i="8"/>
  <c r="EW9" i="8"/>
  <c r="EV9" i="8"/>
  <c r="FB9" i="8"/>
  <c r="FA9" i="8"/>
  <c r="EW10" i="8"/>
  <c r="EV10" i="8"/>
  <c r="FB10" i="8"/>
  <c r="FA10" i="8"/>
  <c r="EW11" i="8"/>
  <c r="EV11" i="8"/>
  <c r="FB11" i="8"/>
  <c r="FA11" i="8"/>
  <c r="EW12" i="8"/>
  <c r="EV12" i="8"/>
  <c r="FB12" i="8"/>
  <c r="FA12" i="8"/>
  <c r="EW13" i="8"/>
  <c r="EV13" i="8"/>
  <c r="FB13" i="8"/>
  <c r="FA13" i="8"/>
  <c r="EW14" i="8"/>
  <c r="EV14" i="8"/>
  <c r="FB14" i="8"/>
  <c r="FA14" i="8"/>
  <c r="EW15" i="8"/>
  <c r="EV15" i="8"/>
  <c r="FB15" i="8"/>
  <c r="FA15" i="8"/>
  <c r="EW16" i="8"/>
  <c r="EV16" i="8"/>
  <c r="FB16" i="8"/>
  <c r="FA16" i="8"/>
  <c r="EW17" i="8"/>
  <c r="EV17" i="8"/>
  <c r="FB17" i="8"/>
  <c r="FA17" i="8"/>
  <c r="EW18" i="8"/>
  <c r="EV18" i="8"/>
  <c r="FB18" i="8"/>
  <c r="FA18" i="8"/>
  <c r="EW19" i="8"/>
  <c r="EV19" i="8"/>
  <c r="FB19" i="8"/>
  <c r="FA19" i="8"/>
  <c r="EW20" i="8"/>
  <c r="EV20" i="8"/>
  <c r="FB20" i="8"/>
  <c r="FA20" i="8"/>
  <c r="EW21" i="8"/>
  <c r="EV21" i="8"/>
  <c r="FB21" i="8"/>
  <c r="FA21" i="8"/>
  <c r="EW22" i="8"/>
  <c r="EV22" i="8"/>
  <c r="FB22" i="8"/>
  <c r="FA22" i="8"/>
  <c r="EW23" i="8"/>
  <c r="EV23" i="8"/>
  <c r="FB23" i="8"/>
  <c r="FA23" i="8"/>
  <c r="EW24" i="8"/>
  <c r="EV24" i="8"/>
  <c r="FB24" i="8"/>
  <c r="FA24" i="8"/>
  <c r="EW25" i="8"/>
  <c r="EV25" i="8"/>
  <c r="FB25" i="8"/>
  <c r="FA25" i="8"/>
  <c r="EW26" i="8"/>
  <c r="EV26" i="8"/>
  <c r="FB26" i="8"/>
  <c r="FA26" i="8"/>
  <c r="EW27" i="8"/>
  <c r="EV27" i="8"/>
  <c r="FB27" i="8"/>
  <c r="FA27" i="8"/>
  <c r="EW28" i="8"/>
  <c r="EV28" i="8"/>
  <c r="FB28" i="8"/>
  <c r="FA28" i="8"/>
  <c r="EW29" i="8"/>
  <c r="EV29" i="8"/>
  <c r="FB29" i="8"/>
  <c r="FA29" i="8"/>
  <c r="EW30" i="8"/>
  <c r="EV30" i="8"/>
  <c r="FB30" i="8"/>
  <c r="FA30" i="8"/>
  <c r="EW31" i="8"/>
  <c r="EV31" i="8"/>
  <c r="FB31" i="8"/>
  <c r="FA31" i="8"/>
  <c r="EW32" i="8"/>
  <c r="EV32" i="8"/>
  <c r="FB32" i="8"/>
  <c r="FA32" i="8"/>
  <c r="EW33" i="8"/>
  <c r="EV33" i="8"/>
  <c r="FB33" i="8"/>
  <c r="FA33" i="8"/>
  <c r="EW34" i="8"/>
  <c r="EV34" i="8"/>
  <c r="FB34" i="8"/>
  <c r="FA34" i="8"/>
  <c r="EW35" i="8"/>
  <c r="EV35" i="8"/>
  <c r="FB35" i="8"/>
  <c r="FA35" i="8"/>
  <c r="EW36" i="8"/>
  <c r="EV36" i="8"/>
  <c r="FB36" i="8"/>
  <c r="FA36" i="8"/>
  <c r="EW37" i="8"/>
  <c r="EV37" i="8"/>
  <c r="FB37" i="8"/>
  <c r="FA37" i="8"/>
  <c r="EW38" i="8"/>
  <c r="EV38" i="8"/>
  <c r="FB38" i="8"/>
  <c r="FA38" i="8"/>
  <c r="EW39" i="8"/>
  <c r="EV39" i="8"/>
  <c r="FB39" i="8"/>
  <c r="FA39" i="8"/>
  <c r="EW40" i="8"/>
  <c r="EV40" i="8"/>
  <c r="FB40" i="8"/>
  <c r="FA40" i="8"/>
  <c r="EW41" i="8"/>
  <c r="EV41" i="8"/>
  <c r="FB41" i="8"/>
  <c r="FA41" i="8"/>
  <c r="EW42" i="8"/>
  <c r="EV42" i="8"/>
  <c r="FB42" i="8"/>
  <c r="FA42" i="8"/>
  <c r="EW43" i="8"/>
  <c r="EV43" i="8"/>
  <c r="FB43" i="8"/>
  <c r="FA43" i="8"/>
  <c r="EW44" i="8"/>
  <c r="EV44" i="8"/>
  <c r="FB44" i="8"/>
  <c r="FA44" i="8"/>
  <c r="EW45" i="8"/>
  <c r="EV45" i="8"/>
  <c r="FB45" i="8"/>
  <c r="FA45" i="8"/>
  <c r="EW46" i="8"/>
  <c r="EV46" i="8"/>
  <c r="FB46" i="8"/>
  <c r="FA46" i="8"/>
  <c r="EW47" i="8"/>
  <c r="EV47" i="8"/>
  <c r="FB47" i="8"/>
  <c r="FA47" i="8"/>
  <c r="EW48" i="8"/>
  <c r="EV48" i="8"/>
  <c r="FB48" i="8"/>
  <c r="FA48" i="8"/>
  <c r="EW49" i="8"/>
  <c r="EV49" i="8"/>
  <c r="FB49" i="8"/>
  <c r="FA49" i="8"/>
  <c r="EW50" i="8"/>
  <c r="EV50" i="8"/>
  <c r="FB50" i="8"/>
  <c r="FA50" i="8"/>
  <c r="EW51" i="8"/>
  <c r="EV51" i="8"/>
  <c r="FB51" i="8"/>
  <c r="FA51" i="8"/>
  <c r="EW52" i="8"/>
  <c r="EV52" i="8"/>
  <c r="FB52" i="8"/>
  <c r="FA52" i="8"/>
  <c r="EW53" i="8"/>
  <c r="EV53" i="8"/>
  <c r="FB53" i="8"/>
  <c r="FA53" i="8"/>
  <c r="EW54" i="8"/>
  <c r="EV54" i="8"/>
  <c r="FB54" i="8"/>
  <c r="FA54" i="8"/>
  <c r="EW55" i="8"/>
  <c r="EV55" i="8"/>
  <c r="FB55" i="8"/>
  <c r="FA55" i="8"/>
  <c r="EW56" i="8"/>
  <c r="EV56" i="8"/>
  <c r="FB56" i="8"/>
  <c r="FA56" i="8"/>
  <c r="EW57" i="8"/>
  <c r="EV57" i="8"/>
  <c r="FB57" i="8"/>
  <c r="FA57" i="8"/>
  <c r="EW58" i="8"/>
  <c r="EV58" i="8"/>
  <c r="FB58" i="8"/>
  <c r="FA58" i="8"/>
  <c r="EW59" i="8"/>
  <c r="EV59" i="8"/>
  <c r="FB59" i="8"/>
  <c r="FA59" i="8"/>
  <c r="EW60" i="8"/>
  <c r="EV60" i="8"/>
  <c r="FB60" i="8"/>
  <c r="FA60" i="8"/>
  <c r="EW61" i="8"/>
  <c r="EV61" i="8"/>
  <c r="FB61" i="8"/>
  <c r="FA61" i="8"/>
  <c r="EW62" i="8"/>
  <c r="EV62" i="8"/>
  <c r="FB62" i="8"/>
  <c r="FA62" i="8"/>
  <c r="EW63" i="8"/>
  <c r="EV63" i="8"/>
  <c r="FB63" i="8"/>
  <c r="FA63" i="8"/>
  <c r="EW64" i="8"/>
  <c r="EV64" i="8"/>
  <c r="FB64" i="8"/>
  <c r="FA64" i="8"/>
  <c r="EW65" i="8"/>
  <c r="EV65" i="8"/>
  <c r="FB65" i="8"/>
  <c r="FA65" i="8"/>
  <c r="EW66" i="8"/>
  <c r="EV66" i="8"/>
  <c r="FB66" i="8"/>
  <c r="FA66" i="8"/>
  <c r="EW67" i="8"/>
  <c r="EV67" i="8"/>
  <c r="FB67" i="8"/>
  <c r="FA67" i="8"/>
  <c r="EW68" i="8"/>
  <c r="EV68" i="8"/>
  <c r="FB68" i="8"/>
  <c r="FA68" i="8"/>
  <c r="EW69" i="8"/>
  <c r="EV69" i="8"/>
  <c r="FB69" i="8"/>
  <c r="FA69" i="8"/>
  <c r="EW70" i="8"/>
  <c r="EV70" i="8"/>
  <c r="FB70" i="8"/>
  <c r="FA70" i="8"/>
  <c r="EW71" i="8"/>
  <c r="EV71" i="8"/>
  <c r="FB71" i="8"/>
  <c r="FA71" i="8"/>
  <c r="EW72" i="8"/>
  <c r="EV72" i="8"/>
  <c r="FB72" i="8"/>
  <c r="FA72" i="8"/>
  <c r="EW73" i="8"/>
  <c r="EV73" i="8"/>
  <c r="FB73" i="8"/>
  <c r="FA73" i="8"/>
  <c r="EW74" i="8"/>
  <c r="EV74" i="8"/>
  <c r="FB74" i="8"/>
  <c r="FA74" i="8"/>
  <c r="EW75" i="8"/>
  <c r="EV75" i="8"/>
  <c r="FB75" i="8"/>
  <c r="FA75" i="8"/>
  <c r="EW76" i="8"/>
  <c r="EV76" i="8"/>
  <c r="FB76" i="8"/>
  <c r="FA76" i="8"/>
  <c r="EW77" i="8"/>
  <c r="EV77" i="8"/>
  <c r="FB77" i="8"/>
  <c r="FA77" i="8"/>
  <c r="EW78" i="8"/>
  <c r="EV78" i="8"/>
  <c r="FB78" i="8"/>
  <c r="FA78" i="8"/>
  <c r="EW79" i="8"/>
  <c r="EV79" i="8"/>
  <c r="FB79" i="8"/>
  <c r="FA79" i="8"/>
  <c r="EW80" i="8"/>
  <c r="EV80" i="8"/>
  <c r="FB80" i="8"/>
  <c r="FA80" i="8"/>
  <c r="EW81" i="8"/>
  <c r="EV81" i="8"/>
  <c r="FB81" i="8"/>
  <c r="FA81" i="8"/>
  <c r="EW82" i="8"/>
  <c r="EV82" i="8"/>
  <c r="FB82" i="8"/>
  <c r="FA82" i="8"/>
  <c r="EW83" i="8"/>
  <c r="EV83" i="8"/>
  <c r="FB83" i="8"/>
  <c r="FA83" i="8"/>
  <c r="EW84" i="8"/>
  <c r="EV84" i="8"/>
  <c r="FB84" i="8"/>
  <c r="FA84" i="8"/>
  <c r="D225" i="2"/>
  <c r="D191" i="2"/>
  <c r="D179" i="2"/>
  <c r="AB153" i="2"/>
  <c r="D148" i="2"/>
  <c r="D146" i="2"/>
  <c r="D237" i="2"/>
  <c r="D224" i="2"/>
  <c r="D222" i="2"/>
  <c r="M198" i="2"/>
  <c r="D189" i="2"/>
  <c r="D182" i="2"/>
  <c r="D180" i="2"/>
  <c r="U153" i="2"/>
  <c r="Q153" i="2"/>
  <c r="D143" i="2"/>
  <c r="K117" i="2"/>
  <c r="D98" i="2"/>
  <c r="M70" i="2"/>
  <c r="D250" i="2"/>
  <c r="D244" i="2"/>
  <c r="D236" i="2"/>
  <c r="D235" i="2"/>
  <c r="D231" i="2"/>
  <c r="I257" i="2" s="1"/>
  <c r="D178" i="2"/>
  <c r="O153" i="2"/>
  <c r="M153" i="2"/>
  <c r="D145" i="2"/>
  <c r="D142" i="2"/>
  <c r="I119" i="2"/>
  <c r="Q117" i="2"/>
  <c r="I117" i="2"/>
  <c r="D96" i="2"/>
  <c r="Q70" i="2"/>
  <c r="E237" i="2"/>
  <c r="E224" i="2"/>
  <c r="E222" i="2"/>
  <c r="E190" i="2"/>
  <c r="E182" i="2"/>
  <c r="E180" i="2"/>
  <c r="X154" i="2"/>
  <c r="U154" i="2"/>
  <c r="Q154" i="2"/>
  <c r="E143" i="2"/>
  <c r="K118" i="2"/>
  <c r="E98" i="2"/>
  <c r="M71" i="2"/>
  <c r="M39" i="2"/>
  <c r="E29" i="2"/>
  <c r="E27" i="2"/>
  <c r="E26" i="2"/>
  <c r="E25" i="2"/>
  <c r="I120" i="2" s="1"/>
  <c r="E250" i="2"/>
  <c r="E244" i="2"/>
  <c r="E236" i="2"/>
  <c r="E235" i="2"/>
  <c r="E233" i="2"/>
  <c r="E231" i="2"/>
  <c r="E178" i="2"/>
  <c r="O154" i="2"/>
  <c r="M154" i="2"/>
  <c r="E145" i="2"/>
  <c r="E142" i="2"/>
  <c r="E141" i="2"/>
  <c r="Q118" i="2"/>
  <c r="E96" i="2"/>
  <c r="Q71" i="2"/>
  <c r="E30" i="2"/>
  <c r="E225" i="2"/>
  <c r="E191" i="2"/>
  <c r="E179" i="2"/>
  <c r="AB154" i="2"/>
  <c r="E148" i="2"/>
  <c r="E146" i="2"/>
  <c r="E28" i="2"/>
  <c r="E24" i="2"/>
  <c r="EG6" i="8"/>
  <c r="EF6" i="8"/>
  <c r="ES6" i="8"/>
  <c r="EG4" i="8"/>
  <c r="EF4" i="8"/>
  <c r="ES4" i="8"/>
  <c r="EG5" i="8"/>
  <c r="EF5" i="8"/>
  <c r="ES5" i="8"/>
  <c r="EG7" i="8"/>
  <c r="EF7" i="8"/>
  <c r="ES7" i="8"/>
  <c r="EG8" i="8"/>
  <c r="EF8" i="8"/>
  <c r="ES8" i="8"/>
  <c r="EG9" i="8"/>
  <c r="EF9" i="8"/>
  <c r="ES9" i="8"/>
  <c r="EG10" i="8"/>
  <c r="EF10" i="8"/>
  <c r="ES10" i="8"/>
  <c r="EG11" i="8"/>
  <c r="EF11" i="8"/>
  <c r="ES11" i="8"/>
  <c r="EG12" i="8"/>
  <c r="EF12" i="8"/>
  <c r="ES12" i="8"/>
  <c r="EG13" i="8"/>
  <c r="EF13" i="8"/>
  <c r="ES13" i="8"/>
  <c r="EG14" i="8"/>
  <c r="EF14" i="8"/>
  <c r="ES14" i="8"/>
  <c r="EG15" i="8"/>
  <c r="EF15" i="8"/>
  <c r="ES15" i="8"/>
  <c r="EG16" i="8"/>
  <c r="EF16" i="8"/>
  <c r="ES16" i="8"/>
  <c r="EG17" i="8"/>
  <c r="EF17" i="8"/>
  <c r="ES17" i="8"/>
  <c r="EG18" i="8"/>
  <c r="EF18" i="8"/>
  <c r="ES18" i="8"/>
  <c r="EG19" i="8"/>
  <c r="EF19" i="8"/>
  <c r="ES19" i="8"/>
  <c r="EG20" i="8"/>
  <c r="EF20" i="8"/>
  <c r="ES20" i="8"/>
  <c r="EG21" i="8"/>
  <c r="EF21" i="8"/>
  <c r="ES21" i="8"/>
  <c r="EG22" i="8"/>
  <c r="EF22" i="8"/>
  <c r="ES22" i="8"/>
  <c r="EG23" i="8"/>
  <c r="EF23" i="8"/>
  <c r="ES23" i="8"/>
  <c r="EG24" i="8"/>
  <c r="EF24" i="8"/>
  <c r="ES24" i="8"/>
  <c r="EG25" i="8"/>
  <c r="EF25" i="8"/>
  <c r="ES25" i="8"/>
  <c r="EG26" i="8"/>
  <c r="EF26" i="8"/>
  <c r="ES26" i="8"/>
  <c r="EG27" i="8"/>
  <c r="EF27" i="8"/>
  <c r="ES27" i="8"/>
  <c r="EG28" i="8"/>
  <c r="EF28" i="8"/>
  <c r="ES28" i="8"/>
  <c r="EG29" i="8"/>
  <c r="EF29" i="8"/>
  <c r="ES29" i="8"/>
  <c r="EG30" i="8"/>
  <c r="EF30" i="8"/>
  <c r="ES30" i="8"/>
  <c r="EG31" i="8"/>
  <c r="EF31" i="8"/>
  <c r="ES31" i="8"/>
  <c r="EG32" i="8"/>
  <c r="EF32" i="8"/>
  <c r="ES32" i="8"/>
  <c r="EG33" i="8"/>
  <c r="EF33" i="8"/>
  <c r="ES33" i="8"/>
  <c r="EG34" i="8"/>
  <c r="EF34" i="8"/>
  <c r="ES34" i="8"/>
  <c r="EG35" i="8"/>
  <c r="EF35" i="8"/>
  <c r="ES35" i="8"/>
  <c r="EG36" i="8"/>
  <c r="EF36" i="8"/>
  <c r="ES36" i="8"/>
  <c r="EG37" i="8"/>
  <c r="EF37" i="8"/>
  <c r="ES37" i="8"/>
  <c r="EG38" i="8"/>
  <c r="EF38" i="8"/>
  <c r="ES38" i="8"/>
  <c r="EG39" i="8"/>
  <c r="EF39" i="8"/>
  <c r="ES39" i="8"/>
  <c r="EG40" i="8"/>
  <c r="EF40" i="8"/>
  <c r="ES40" i="8"/>
  <c r="EG41" i="8"/>
  <c r="EF41" i="8"/>
  <c r="ES41" i="8"/>
  <c r="EG42" i="8"/>
  <c r="EF42" i="8"/>
  <c r="ES42" i="8"/>
  <c r="EG43" i="8"/>
  <c r="EF43" i="8"/>
  <c r="ES43" i="8"/>
  <c r="EG44" i="8"/>
  <c r="EF44" i="8"/>
  <c r="ES44" i="8"/>
  <c r="EG45" i="8"/>
  <c r="EF45" i="8"/>
  <c r="ES45" i="8"/>
  <c r="EG46" i="8"/>
  <c r="EF46" i="8"/>
  <c r="ES46" i="8"/>
  <c r="EG47" i="8"/>
  <c r="EF47" i="8"/>
  <c r="ES47" i="8"/>
  <c r="EG48" i="8"/>
  <c r="EF48" i="8"/>
  <c r="ES48" i="8"/>
  <c r="EG49" i="8"/>
  <c r="EF49" i="8"/>
  <c r="ES49" i="8"/>
  <c r="EG50" i="8"/>
  <c r="EF50" i="8"/>
  <c r="ES50" i="8"/>
  <c r="EG51" i="8"/>
  <c r="EF51" i="8"/>
  <c r="ES51" i="8"/>
  <c r="EG52" i="8"/>
  <c r="EF52" i="8"/>
  <c r="ES52" i="8"/>
  <c r="EG53" i="8"/>
  <c r="EF53" i="8"/>
  <c r="ES53" i="8"/>
  <c r="EG54" i="8"/>
  <c r="EF54" i="8"/>
  <c r="ES54" i="8"/>
  <c r="EG55" i="8"/>
  <c r="EF55" i="8"/>
  <c r="ES55" i="8"/>
  <c r="EG56" i="8"/>
  <c r="EF56" i="8"/>
  <c r="ES56" i="8"/>
  <c r="EG57" i="8"/>
  <c r="EF57" i="8"/>
  <c r="ES57" i="8"/>
  <c r="EG58" i="8"/>
  <c r="EF58" i="8"/>
  <c r="ES58" i="8"/>
  <c r="EG59" i="8"/>
  <c r="EF59" i="8"/>
  <c r="ES59" i="8"/>
  <c r="EG60" i="8"/>
  <c r="EF60" i="8"/>
  <c r="ES60" i="8"/>
  <c r="EG61" i="8"/>
  <c r="EF61" i="8"/>
  <c r="ES61" i="8"/>
  <c r="EG62" i="8"/>
  <c r="EF62" i="8"/>
  <c r="ES62" i="8"/>
  <c r="EG63" i="8"/>
  <c r="EF63" i="8"/>
  <c r="ES63" i="8"/>
  <c r="EG64" i="8"/>
  <c r="EF64" i="8"/>
  <c r="ES64" i="8"/>
  <c r="EG65" i="8"/>
  <c r="EF65" i="8"/>
  <c r="ES65" i="8"/>
  <c r="EG66" i="8"/>
  <c r="EF66" i="8"/>
  <c r="ES66" i="8"/>
  <c r="EG67" i="8"/>
  <c r="EF67" i="8"/>
  <c r="ES67" i="8"/>
  <c r="EG68" i="8"/>
  <c r="EF68" i="8"/>
  <c r="ES68" i="8"/>
  <c r="EG69" i="8"/>
  <c r="EF69" i="8"/>
  <c r="ES69" i="8"/>
  <c r="EG70" i="8"/>
  <c r="EF70" i="8"/>
  <c r="ES70" i="8"/>
  <c r="EG71" i="8"/>
  <c r="EF71" i="8"/>
  <c r="ES71" i="8"/>
  <c r="EG72" i="8"/>
  <c r="EF72" i="8"/>
  <c r="ES72" i="8"/>
  <c r="EG73" i="8"/>
  <c r="EF73" i="8"/>
  <c r="ES73" i="8"/>
  <c r="EG74" i="8"/>
  <c r="EF74" i="8"/>
  <c r="ES74" i="8"/>
  <c r="EG75" i="8"/>
  <c r="EF75" i="8"/>
  <c r="ES75" i="8"/>
  <c r="EG76" i="8"/>
  <c r="EF76" i="8"/>
  <c r="ES76" i="8"/>
  <c r="EG77" i="8"/>
  <c r="EF77" i="8"/>
  <c r="ES77" i="8"/>
  <c r="EG78" i="8"/>
  <c r="EF78" i="8"/>
  <c r="ES78" i="8"/>
  <c r="EG79" i="8"/>
  <c r="EF79" i="8"/>
  <c r="ES79" i="8"/>
  <c r="EG80" i="8"/>
  <c r="EF80" i="8"/>
  <c r="ES80" i="8"/>
  <c r="EG81" i="8"/>
  <c r="EF81" i="8"/>
  <c r="ES81" i="8"/>
  <c r="EG82" i="8"/>
  <c r="EF82" i="8"/>
  <c r="ES82" i="8"/>
  <c r="EG83" i="8"/>
  <c r="EF83" i="8"/>
  <c r="ES83" i="8"/>
  <c r="EG84" i="8"/>
  <c r="EF84" i="8"/>
  <c r="ES84" i="8"/>
  <c r="DQ6" i="8"/>
  <c r="DR6" i="8"/>
  <c r="DV6" i="8"/>
  <c r="DQ9" i="8"/>
  <c r="DR9" i="8"/>
  <c r="DV9" i="8"/>
  <c r="DQ50" i="8"/>
  <c r="DR50" i="8"/>
  <c r="DV50" i="8"/>
  <c r="CH50" i="8"/>
  <c r="CN50" i="8"/>
  <c r="DQ12" i="8"/>
  <c r="DR12" i="8"/>
  <c r="DV12" i="8"/>
  <c r="DQ22" i="8"/>
  <c r="DR22" i="8"/>
  <c r="DV22" i="8"/>
  <c r="DQ32" i="8"/>
  <c r="DR32" i="8"/>
  <c r="DV32" i="8"/>
  <c r="CH32" i="8"/>
  <c r="CN32" i="8"/>
  <c r="DQ42" i="8"/>
  <c r="DR42" i="8"/>
  <c r="DV42" i="8"/>
  <c r="CH42" i="8"/>
  <c r="CN42" i="8"/>
  <c r="DQ52" i="8"/>
  <c r="DR52" i="8"/>
  <c r="DV52" i="8"/>
  <c r="CH52" i="8"/>
  <c r="CN52" i="8"/>
  <c r="DQ62" i="8"/>
  <c r="DR62" i="8"/>
  <c r="DV62" i="8"/>
  <c r="CH62" i="8"/>
  <c r="CN62" i="8"/>
  <c r="DQ72" i="8"/>
  <c r="DR72" i="8"/>
  <c r="DV72" i="8"/>
  <c r="CH72" i="8"/>
  <c r="CN72" i="8"/>
  <c r="DQ82" i="8"/>
  <c r="DR82" i="8"/>
  <c r="DV82" i="8"/>
  <c r="CH82" i="8"/>
  <c r="CN82" i="8"/>
  <c r="DQ81" i="8"/>
  <c r="DR81" i="8"/>
  <c r="DV81" i="8"/>
  <c r="CH81" i="8"/>
  <c r="CN81" i="8"/>
  <c r="DQ14" i="8"/>
  <c r="DR14" i="8"/>
  <c r="DV14" i="8"/>
  <c r="DQ24" i="8"/>
  <c r="DR24" i="8"/>
  <c r="DV24" i="8"/>
  <c r="DQ34" i="8"/>
  <c r="DR34" i="8"/>
  <c r="DV34" i="8"/>
  <c r="CH34" i="8"/>
  <c r="CN34" i="8"/>
  <c r="DQ44" i="8"/>
  <c r="DR44" i="8"/>
  <c r="DV44" i="8"/>
  <c r="CH44" i="8"/>
  <c r="CN44" i="8"/>
  <c r="DQ54" i="8"/>
  <c r="DR54" i="8"/>
  <c r="DV54" i="8"/>
  <c r="CH54" i="8"/>
  <c r="CN54" i="8"/>
  <c r="DQ64" i="8"/>
  <c r="DR64" i="8"/>
  <c r="DV64" i="8"/>
  <c r="CH64" i="8"/>
  <c r="CN64" i="8"/>
  <c r="DQ74" i="8"/>
  <c r="DR74" i="8"/>
  <c r="DV74" i="8"/>
  <c r="CH74" i="8"/>
  <c r="CN74" i="8"/>
  <c r="DQ84" i="8"/>
  <c r="DR84" i="8"/>
  <c r="DV84" i="8"/>
  <c r="CH84" i="8"/>
  <c r="CN84" i="8"/>
  <c r="DQ5" i="8"/>
  <c r="DR5" i="8"/>
  <c r="DV5" i="8"/>
  <c r="DQ15" i="8"/>
  <c r="DR15" i="8"/>
  <c r="DV15" i="8"/>
  <c r="DQ25" i="8"/>
  <c r="DR25" i="8"/>
  <c r="DV25" i="8"/>
  <c r="DQ45" i="8"/>
  <c r="DR45" i="8"/>
  <c r="DV45" i="8"/>
  <c r="CH45" i="8"/>
  <c r="CN45" i="8"/>
  <c r="DQ55" i="8"/>
  <c r="DR55" i="8"/>
  <c r="DV55" i="8"/>
  <c r="CH55" i="8"/>
  <c r="CN55" i="8"/>
  <c r="DQ65" i="8"/>
  <c r="DR65" i="8"/>
  <c r="DV65" i="8"/>
  <c r="CH65" i="8"/>
  <c r="CN65" i="8"/>
  <c r="DQ75" i="8"/>
  <c r="DR75" i="8"/>
  <c r="DV75" i="8"/>
  <c r="CH75" i="8"/>
  <c r="CN75" i="8"/>
  <c r="DQ18" i="8"/>
  <c r="DR18" i="8"/>
  <c r="DV18" i="8"/>
  <c r="DQ68" i="8"/>
  <c r="DR68" i="8"/>
  <c r="DV68" i="8"/>
  <c r="CH68" i="8"/>
  <c r="CN68" i="8"/>
  <c r="DQ16" i="8"/>
  <c r="DR16" i="8"/>
  <c r="DV16" i="8"/>
  <c r="DQ26" i="8"/>
  <c r="DR26" i="8"/>
  <c r="DV26" i="8"/>
  <c r="DQ36" i="8"/>
  <c r="DR36" i="8"/>
  <c r="DV36" i="8"/>
  <c r="CH36" i="8"/>
  <c r="CN36" i="8"/>
  <c r="DQ46" i="8"/>
  <c r="DR46" i="8"/>
  <c r="DV46" i="8"/>
  <c r="CH46" i="8"/>
  <c r="CN46" i="8"/>
  <c r="DQ56" i="8"/>
  <c r="DR56" i="8"/>
  <c r="DV56" i="8"/>
  <c r="CH56" i="8"/>
  <c r="CN56" i="8"/>
  <c r="DQ66" i="8"/>
  <c r="DR66" i="8"/>
  <c r="DV66" i="8"/>
  <c r="CH66" i="8"/>
  <c r="CN66" i="8"/>
  <c r="DQ76" i="8"/>
  <c r="DR76" i="8"/>
  <c r="DV76" i="8"/>
  <c r="CH76" i="8"/>
  <c r="CN76" i="8"/>
  <c r="DQ7" i="8"/>
  <c r="DR7" i="8"/>
  <c r="DV7" i="8"/>
  <c r="DQ27" i="8"/>
  <c r="DR27" i="8"/>
  <c r="DV27" i="8"/>
  <c r="CH27" i="8"/>
  <c r="CN27" i="8"/>
  <c r="DQ37" i="8"/>
  <c r="DR37" i="8"/>
  <c r="DV37" i="8"/>
  <c r="CH37" i="8"/>
  <c r="CN37" i="8"/>
  <c r="DQ47" i="8"/>
  <c r="DR47" i="8"/>
  <c r="DV47" i="8"/>
  <c r="CH47" i="8"/>
  <c r="CN47" i="8"/>
  <c r="DQ57" i="8"/>
  <c r="DR57" i="8"/>
  <c r="DV57" i="8"/>
  <c r="CH57" i="8"/>
  <c r="CN57" i="8"/>
  <c r="DQ67" i="8"/>
  <c r="DR67" i="8"/>
  <c r="DV67" i="8"/>
  <c r="CH67" i="8"/>
  <c r="CN67" i="8"/>
  <c r="DQ77" i="8"/>
  <c r="DR77" i="8"/>
  <c r="DV77" i="8"/>
  <c r="CH77" i="8"/>
  <c r="CN77" i="8"/>
  <c r="DQ28" i="8"/>
  <c r="DR28" i="8"/>
  <c r="DV28" i="8"/>
  <c r="CH28" i="8"/>
  <c r="CN28" i="8"/>
  <c r="DQ48" i="8"/>
  <c r="DR48" i="8"/>
  <c r="DV48" i="8"/>
  <c r="CH48" i="8"/>
  <c r="CN48" i="8"/>
  <c r="DQ17" i="8"/>
  <c r="DR17" i="8"/>
  <c r="DV17" i="8"/>
  <c r="DQ8" i="8"/>
  <c r="DR8" i="8"/>
  <c r="DV8" i="8"/>
  <c r="DQ51" i="8"/>
  <c r="DR51" i="8"/>
  <c r="DV51" i="8"/>
  <c r="CH51" i="8"/>
  <c r="CN51" i="8"/>
  <c r="DQ13" i="8"/>
  <c r="DR13" i="8"/>
  <c r="DV13" i="8"/>
  <c r="DQ23" i="8"/>
  <c r="DR23" i="8"/>
  <c r="DV23" i="8"/>
  <c r="DQ33" i="8"/>
  <c r="DR33" i="8"/>
  <c r="DV33" i="8"/>
  <c r="CH33" i="8"/>
  <c r="CN33" i="8"/>
  <c r="DQ43" i="8"/>
  <c r="DR43" i="8"/>
  <c r="DV43" i="8"/>
  <c r="CH43" i="8"/>
  <c r="CN43" i="8"/>
  <c r="DQ53" i="8"/>
  <c r="DR53" i="8"/>
  <c r="DV53" i="8"/>
  <c r="CH53" i="8"/>
  <c r="CN53" i="8"/>
  <c r="DQ63" i="8"/>
  <c r="DR63" i="8"/>
  <c r="DV63" i="8"/>
  <c r="CH63" i="8"/>
  <c r="CN63" i="8"/>
  <c r="DQ73" i="8"/>
  <c r="DR73" i="8"/>
  <c r="DV73" i="8"/>
  <c r="CH73" i="8"/>
  <c r="CN73" i="8"/>
  <c r="DQ83" i="8"/>
  <c r="DR83" i="8"/>
  <c r="DV83" i="8"/>
  <c r="CH83" i="8"/>
  <c r="CN83" i="8"/>
  <c r="DQ38" i="8"/>
  <c r="DR38" i="8"/>
  <c r="DV38" i="8"/>
  <c r="CH38" i="8"/>
  <c r="CN38" i="8"/>
  <c r="DQ58" i="8"/>
  <c r="DR58" i="8"/>
  <c r="DV58" i="8"/>
  <c r="CH58" i="8"/>
  <c r="CN58" i="8"/>
  <c r="DQ78" i="8"/>
  <c r="DR78" i="8"/>
  <c r="DV78" i="8"/>
  <c r="CH78" i="8"/>
  <c r="CN78" i="8"/>
  <c r="DQ29" i="8"/>
  <c r="DR29" i="8"/>
  <c r="DV29" i="8"/>
  <c r="CH29" i="8"/>
  <c r="CN29" i="8"/>
  <c r="DQ69" i="8"/>
  <c r="DR69" i="8"/>
  <c r="DV69" i="8"/>
  <c r="CH69" i="8"/>
  <c r="CN69" i="8"/>
  <c r="DQ70" i="8"/>
  <c r="DR70" i="8"/>
  <c r="DV70" i="8"/>
  <c r="CH70" i="8"/>
  <c r="CN70" i="8"/>
  <c r="DQ19" i="8"/>
  <c r="DR19" i="8"/>
  <c r="DV19" i="8"/>
  <c r="DQ59" i="8"/>
  <c r="DR59" i="8"/>
  <c r="DV59" i="8"/>
  <c r="CH59" i="8"/>
  <c r="CN59" i="8"/>
  <c r="DQ80" i="8"/>
  <c r="DR80" i="8"/>
  <c r="DV80" i="8"/>
  <c r="CH80" i="8"/>
  <c r="CN80" i="8"/>
  <c r="DQ39" i="8"/>
  <c r="DR39" i="8"/>
  <c r="DV39" i="8"/>
  <c r="CH39" i="8"/>
  <c r="CN39" i="8"/>
  <c r="DQ79" i="8"/>
  <c r="DR79" i="8"/>
  <c r="DV79" i="8"/>
  <c r="CH79" i="8"/>
  <c r="CN79" i="8"/>
  <c r="DQ49" i="8"/>
  <c r="DR49" i="8"/>
  <c r="DV49" i="8"/>
  <c r="CH49" i="8"/>
  <c r="CN49" i="8"/>
  <c r="DQ10" i="8"/>
  <c r="DR10" i="8"/>
  <c r="DV10" i="8"/>
  <c r="DQ20" i="8"/>
  <c r="DR20" i="8"/>
  <c r="DV20" i="8"/>
  <c r="DQ30" i="8"/>
  <c r="DR30" i="8"/>
  <c r="DV30" i="8"/>
  <c r="CH30" i="8"/>
  <c r="CN30" i="8"/>
  <c r="DQ40" i="8"/>
  <c r="DR40" i="8"/>
  <c r="DV40" i="8"/>
  <c r="CH40" i="8"/>
  <c r="CN40" i="8"/>
  <c r="DQ60" i="8"/>
  <c r="DR60" i="8"/>
  <c r="DV60" i="8"/>
  <c r="CH60" i="8"/>
  <c r="CN60" i="8"/>
  <c r="DQ71" i="8"/>
  <c r="DR71" i="8"/>
  <c r="DV71" i="8"/>
  <c r="CH71" i="8"/>
  <c r="CN71" i="8"/>
  <c r="DQ35" i="8"/>
  <c r="DR35" i="8"/>
  <c r="DV35" i="8"/>
  <c r="CH35" i="8"/>
  <c r="CN35" i="8"/>
  <c r="DQ11" i="8"/>
  <c r="DR11" i="8"/>
  <c r="DV11" i="8"/>
  <c r="DQ21" i="8"/>
  <c r="DR21" i="8"/>
  <c r="DV21" i="8"/>
  <c r="DQ31" i="8"/>
  <c r="DR31" i="8"/>
  <c r="DV31" i="8"/>
  <c r="CH31" i="8"/>
  <c r="CN31" i="8"/>
  <c r="DQ41" i="8"/>
  <c r="DR41" i="8"/>
  <c r="DV41" i="8"/>
  <c r="CH41" i="8"/>
  <c r="CN41" i="8"/>
  <c r="DQ61" i="8"/>
  <c r="DR61" i="8"/>
  <c r="DV61" i="8"/>
  <c r="CH61" i="8"/>
  <c r="CN61" i="8"/>
  <c r="DV4" i="8"/>
  <c r="DR4" i="8"/>
  <c r="DQ4" i="8"/>
  <c r="CS6" i="8"/>
  <c r="CR6" i="8"/>
  <c r="DD6" i="8"/>
  <c r="DE6" i="8"/>
  <c r="DF6" i="8" s="1"/>
  <c r="DK5" i="8"/>
  <c r="DL5" i="8"/>
  <c r="DM5" i="8" s="1"/>
  <c r="DK6" i="8"/>
  <c r="DL6" i="8"/>
  <c r="DM6" i="8" s="1"/>
  <c r="DK7" i="8"/>
  <c r="DL7" i="8"/>
  <c r="DM7" i="8" s="1"/>
  <c r="DK8" i="8"/>
  <c r="DL8" i="8"/>
  <c r="DM8" i="8" s="1"/>
  <c r="DK9" i="8"/>
  <c r="DL9" i="8"/>
  <c r="DM9" i="8" s="1"/>
  <c r="DK10" i="8"/>
  <c r="DL10" i="8"/>
  <c r="DM10" i="8" s="1"/>
  <c r="DK11" i="8"/>
  <c r="DL11" i="8"/>
  <c r="DM11" i="8" s="1"/>
  <c r="DK12" i="8"/>
  <c r="DL12" i="8"/>
  <c r="DM12" i="8" s="1"/>
  <c r="DK13" i="8"/>
  <c r="DL13" i="8"/>
  <c r="DM13" i="8" s="1"/>
  <c r="DK14" i="8"/>
  <c r="DL14" i="8"/>
  <c r="DM14" i="8" s="1"/>
  <c r="DK15" i="8"/>
  <c r="DL15" i="8"/>
  <c r="DM15" i="8" s="1"/>
  <c r="DK16" i="8"/>
  <c r="DL16" i="8"/>
  <c r="DM16" i="8" s="1"/>
  <c r="DK17" i="8"/>
  <c r="DL17" i="8"/>
  <c r="DM17" i="8" s="1"/>
  <c r="DK18" i="8"/>
  <c r="DL18" i="8"/>
  <c r="DM18" i="8" s="1"/>
  <c r="DK19" i="8"/>
  <c r="DL19" i="8"/>
  <c r="DM19" i="8" s="1"/>
  <c r="DK20" i="8"/>
  <c r="DL20" i="8"/>
  <c r="DM20" i="8" s="1"/>
  <c r="DK21" i="8"/>
  <c r="DL21" i="8"/>
  <c r="DM21" i="8" s="1"/>
  <c r="DK22" i="8"/>
  <c r="DL22" i="8"/>
  <c r="DM22" i="8" s="1"/>
  <c r="DK23" i="8"/>
  <c r="DL23" i="8"/>
  <c r="DM23" i="8" s="1"/>
  <c r="DL24" i="8"/>
  <c r="DK24" i="8"/>
  <c r="DK25" i="8"/>
  <c r="DL25" i="8"/>
  <c r="DM25" i="8" s="1"/>
  <c r="DK26" i="8"/>
  <c r="DL26" i="8"/>
  <c r="DM26" i="8" s="1"/>
  <c r="DK27" i="8"/>
  <c r="DL27" i="8"/>
  <c r="DM27" i="8" s="1"/>
  <c r="DK28" i="8"/>
  <c r="DL28" i="8"/>
  <c r="DM28" i="8" s="1"/>
  <c r="DL29" i="8"/>
  <c r="DK29" i="8"/>
  <c r="DK30" i="8"/>
  <c r="DL30" i="8"/>
  <c r="DM30" i="8" s="1"/>
  <c r="DK31" i="8"/>
  <c r="DL31" i="8"/>
  <c r="DM31" i="8" s="1"/>
  <c r="DK32" i="8"/>
  <c r="DL32" i="8"/>
  <c r="DM32" i="8" s="1"/>
  <c r="DK33" i="8"/>
  <c r="DL33" i="8"/>
  <c r="DM33" i="8" s="1"/>
  <c r="DK34" i="8"/>
  <c r="DL34" i="8"/>
  <c r="DM34" i="8" s="1"/>
  <c r="DK35" i="8"/>
  <c r="DL35" i="8"/>
  <c r="DM35" i="8" s="1"/>
  <c r="DK36" i="8"/>
  <c r="DL36" i="8"/>
  <c r="DM36" i="8" s="1"/>
  <c r="DK37" i="8"/>
  <c r="DL37" i="8"/>
  <c r="DM37" i="8" s="1"/>
  <c r="DK38" i="8"/>
  <c r="DL38" i="8"/>
  <c r="DM38" i="8" s="1"/>
  <c r="DK39" i="8"/>
  <c r="DL39" i="8"/>
  <c r="DM39" i="8" s="1"/>
  <c r="DK40" i="8"/>
  <c r="DL40" i="8"/>
  <c r="DM40" i="8" s="1"/>
  <c r="DK41" i="8"/>
  <c r="DL41" i="8"/>
  <c r="DM41" i="8" s="1"/>
  <c r="DK42" i="8"/>
  <c r="DL42" i="8"/>
  <c r="DM42" i="8" s="1"/>
  <c r="DK43" i="8"/>
  <c r="DL43" i="8"/>
  <c r="DM43" i="8" s="1"/>
  <c r="DK44" i="8"/>
  <c r="DL44" i="8"/>
  <c r="DM44" i="8" s="1"/>
  <c r="DK45" i="8"/>
  <c r="DL45" i="8"/>
  <c r="DM45" i="8" s="1"/>
  <c r="DK46" i="8"/>
  <c r="DL46" i="8"/>
  <c r="DM46" i="8" s="1"/>
  <c r="DK47" i="8"/>
  <c r="DL47" i="8"/>
  <c r="DM47" i="8" s="1"/>
  <c r="DK48" i="8"/>
  <c r="DL48" i="8"/>
  <c r="DM48" i="8" s="1"/>
  <c r="DK49" i="8"/>
  <c r="DL49" i="8"/>
  <c r="DM49" i="8" s="1"/>
  <c r="DK50" i="8"/>
  <c r="DL50" i="8"/>
  <c r="DM50" i="8" s="1"/>
  <c r="DK51" i="8"/>
  <c r="DL51" i="8"/>
  <c r="DM51" i="8" s="1"/>
  <c r="DK52" i="8"/>
  <c r="DL52" i="8"/>
  <c r="DM52" i="8" s="1"/>
  <c r="DK53" i="8"/>
  <c r="DL53" i="8"/>
  <c r="DM53" i="8" s="1"/>
  <c r="DK54" i="8"/>
  <c r="DL54" i="8"/>
  <c r="DM54" i="8" s="1"/>
  <c r="DK55" i="8"/>
  <c r="DL55" i="8"/>
  <c r="DM55" i="8" s="1"/>
  <c r="DK56" i="8"/>
  <c r="DL56" i="8"/>
  <c r="DM56" i="8" s="1"/>
  <c r="DK57" i="8"/>
  <c r="DL57" i="8"/>
  <c r="DM57" i="8" s="1"/>
  <c r="DK58" i="8"/>
  <c r="DL58" i="8"/>
  <c r="DM58" i="8" s="1"/>
  <c r="DK59" i="8"/>
  <c r="DL59" i="8"/>
  <c r="DM59" i="8" s="1"/>
  <c r="DK60" i="8"/>
  <c r="DL60" i="8"/>
  <c r="DM60" i="8" s="1"/>
  <c r="DK61" i="8"/>
  <c r="DL61" i="8"/>
  <c r="DM61" i="8" s="1"/>
  <c r="DK62" i="8"/>
  <c r="DL62" i="8"/>
  <c r="DM62" i="8" s="1"/>
  <c r="DK63" i="8"/>
  <c r="DL63" i="8"/>
  <c r="DM63" i="8" s="1"/>
  <c r="DK64" i="8"/>
  <c r="DL64" i="8"/>
  <c r="DM64" i="8" s="1"/>
  <c r="DK65" i="8"/>
  <c r="DL65" i="8"/>
  <c r="DM65" i="8" s="1"/>
  <c r="DK66" i="8"/>
  <c r="DL66" i="8"/>
  <c r="DM66" i="8" s="1"/>
  <c r="DK67" i="8"/>
  <c r="DL67" i="8"/>
  <c r="DM67" i="8" s="1"/>
  <c r="DK68" i="8"/>
  <c r="DL68" i="8"/>
  <c r="DM68" i="8" s="1"/>
  <c r="DK69" i="8"/>
  <c r="DL69" i="8"/>
  <c r="DM69" i="8" s="1"/>
  <c r="DK70" i="8"/>
  <c r="DL70" i="8"/>
  <c r="DM70" i="8" s="1"/>
  <c r="DK71" i="8"/>
  <c r="DL71" i="8"/>
  <c r="DM71" i="8" s="1"/>
  <c r="DK72" i="8"/>
  <c r="DL72" i="8"/>
  <c r="DM72" i="8" s="1"/>
  <c r="DK73" i="8"/>
  <c r="DL73" i="8"/>
  <c r="DM73" i="8" s="1"/>
  <c r="DK74" i="8"/>
  <c r="DL74" i="8"/>
  <c r="DM74" i="8" s="1"/>
  <c r="DK75" i="8"/>
  <c r="DL75" i="8"/>
  <c r="DM75" i="8" s="1"/>
  <c r="DK76" i="8"/>
  <c r="DL76" i="8"/>
  <c r="DM76" i="8" s="1"/>
  <c r="DK77" i="8"/>
  <c r="DL77" i="8"/>
  <c r="DM77" i="8" s="1"/>
  <c r="DK78" i="8"/>
  <c r="DL78" i="8"/>
  <c r="DM78" i="8" s="1"/>
  <c r="DK79" i="8"/>
  <c r="DL79" i="8"/>
  <c r="DM79" i="8" s="1"/>
  <c r="DK80" i="8"/>
  <c r="DL80" i="8"/>
  <c r="DM80" i="8" s="1"/>
  <c r="DK81" i="8"/>
  <c r="DL81" i="8"/>
  <c r="DM81" i="8" s="1"/>
  <c r="DK82" i="8"/>
  <c r="DL82" i="8"/>
  <c r="DM82" i="8" s="1"/>
  <c r="DK83" i="8"/>
  <c r="DL83" i="8"/>
  <c r="DM83" i="8" s="1"/>
  <c r="DK84" i="8"/>
  <c r="DL84" i="8"/>
  <c r="DM84" i="8" s="1"/>
  <c r="DL4" i="8"/>
  <c r="DK4" i="8"/>
  <c r="CS4" i="8"/>
  <c r="CR4" i="8"/>
  <c r="DE4" i="8"/>
  <c r="DD4" i="8"/>
  <c r="CS5" i="8"/>
  <c r="CR5" i="8"/>
  <c r="DD5" i="8"/>
  <c r="DE5" i="8"/>
  <c r="DF5" i="8" s="1"/>
  <c r="CS7" i="8"/>
  <c r="CR7" i="8"/>
  <c r="DD7" i="8"/>
  <c r="DE7" i="8"/>
  <c r="DF7" i="8" s="1"/>
  <c r="CS8" i="8"/>
  <c r="CR8" i="8"/>
  <c r="DD8" i="8"/>
  <c r="DE8" i="8"/>
  <c r="DF8" i="8" s="1"/>
  <c r="CS9" i="8"/>
  <c r="CR9" i="8"/>
  <c r="DD9" i="8"/>
  <c r="DE9" i="8"/>
  <c r="DF9" i="8" s="1"/>
  <c r="CS10" i="8"/>
  <c r="CR10" i="8"/>
  <c r="DD10" i="8"/>
  <c r="DE10" i="8"/>
  <c r="DF10" i="8" s="1"/>
  <c r="CS11" i="8"/>
  <c r="CR11" i="8"/>
  <c r="DD11" i="8"/>
  <c r="DE11" i="8"/>
  <c r="DF11" i="8" s="1"/>
  <c r="CS12" i="8"/>
  <c r="CR12" i="8"/>
  <c r="DD12" i="8"/>
  <c r="DE12" i="8"/>
  <c r="DF12" i="8" s="1"/>
  <c r="CS13" i="8"/>
  <c r="CR13" i="8"/>
  <c r="DD13" i="8"/>
  <c r="DE13" i="8"/>
  <c r="DF13" i="8" s="1"/>
  <c r="CS14" i="8"/>
  <c r="CR14" i="8"/>
  <c r="DD14" i="8"/>
  <c r="DE14" i="8"/>
  <c r="DF14" i="8" s="1"/>
  <c r="CS15" i="8"/>
  <c r="CR15" i="8"/>
  <c r="DD15" i="8"/>
  <c r="DE15" i="8"/>
  <c r="DF15" i="8" s="1"/>
  <c r="CS16" i="8"/>
  <c r="CR16" i="8"/>
  <c r="DD16" i="8"/>
  <c r="DE16" i="8"/>
  <c r="DF16" i="8" s="1"/>
  <c r="CS17" i="8"/>
  <c r="CR17" i="8"/>
  <c r="DD17" i="8"/>
  <c r="DE17" i="8"/>
  <c r="DF17" i="8" s="1"/>
  <c r="CS18" i="8"/>
  <c r="CR18" i="8"/>
  <c r="DD18" i="8"/>
  <c r="DE18" i="8"/>
  <c r="DF18" i="8" s="1"/>
  <c r="CS19" i="8"/>
  <c r="CR19" i="8"/>
  <c r="DD19" i="8"/>
  <c r="DE19" i="8"/>
  <c r="DF19" i="8" s="1"/>
  <c r="CS20" i="8"/>
  <c r="CR20" i="8"/>
  <c r="DD20" i="8"/>
  <c r="DE20" i="8"/>
  <c r="DF20" i="8" s="1"/>
  <c r="CS21" i="8"/>
  <c r="CR21" i="8"/>
  <c r="DD21" i="8"/>
  <c r="DE21" i="8"/>
  <c r="DF21" i="8" s="1"/>
  <c r="CS22" i="8"/>
  <c r="CR22" i="8"/>
  <c r="DD22" i="8"/>
  <c r="DE22" i="8"/>
  <c r="DF22" i="8" s="1"/>
  <c r="CS23" i="8"/>
  <c r="CR23" i="8"/>
  <c r="DD23" i="8"/>
  <c r="DE23" i="8"/>
  <c r="DF23" i="8" s="1"/>
  <c r="CS24" i="8"/>
  <c r="CR24" i="8"/>
  <c r="DD24" i="8"/>
  <c r="DE24" i="8"/>
  <c r="DF24" i="8" s="1"/>
  <c r="CS25" i="8"/>
  <c r="CR25" i="8"/>
  <c r="DD25" i="8"/>
  <c r="DE25" i="8"/>
  <c r="DF25" i="8" s="1"/>
  <c r="CS26" i="8"/>
  <c r="CR26" i="8"/>
  <c r="DD26" i="8"/>
  <c r="DE26" i="8"/>
  <c r="DF26" i="8" s="1"/>
  <c r="DD27" i="8"/>
  <c r="DE27" i="8"/>
  <c r="DF27" i="8" s="1"/>
  <c r="DD28" i="8"/>
  <c r="DE28" i="8"/>
  <c r="DF28" i="8" s="1"/>
  <c r="DD29" i="8"/>
  <c r="DE29" i="8"/>
  <c r="DF29" i="8" s="1"/>
  <c r="DD30" i="8"/>
  <c r="DE30" i="8"/>
  <c r="DF30" i="8" s="1"/>
  <c r="DD31" i="8"/>
  <c r="DE31" i="8"/>
  <c r="DF31" i="8" s="1"/>
  <c r="DD32" i="8"/>
  <c r="DE32" i="8"/>
  <c r="DF32" i="8" s="1"/>
  <c r="DD33" i="8"/>
  <c r="DE33" i="8"/>
  <c r="DF33" i="8" s="1"/>
  <c r="DD34" i="8"/>
  <c r="DE34" i="8"/>
  <c r="DF34" i="8" s="1"/>
  <c r="DD35" i="8"/>
  <c r="DE35" i="8"/>
  <c r="DF35" i="8" s="1"/>
  <c r="DD36" i="8"/>
  <c r="DE36" i="8"/>
  <c r="DF36" i="8" s="1"/>
  <c r="DD37" i="8"/>
  <c r="DE37" i="8"/>
  <c r="DF37" i="8" s="1"/>
  <c r="DD38" i="8"/>
  <c r="DE38" i="8"/>
  <c r="DF38" i="8" s="1"/>
  <c r="DD39" i="8"/>
  <c r="DE39" i="8"/>
  <c r="DF39" i="8" s="1"/>
  <c r="DD40" i="8"/>
  <c r="DE40" i="8"/>
  <c r="DF40" i="8" s="1"/>
  <c r="DD41" i="8"/>
  <c r="DE41" i="8"/>
  <c r="DF41" i="8" s="1"/>
  <c r="DD42" i="8"/>
  <c r="DE42" i="8"/>
  <c r="DF42" i="8" s="1"/>
  <c r="DD43" i="8"/>
  <c r="DE43" i="8"/>
  <c r="DF43" i="8" s="1"/>
  <c r="DD44" i="8"/>
  <c r="DE44" i="8"/>
  <c r="DF44" i="8" s="1"/>
  <c r="DD45" i="8"/>
  <c r="DE45" i="8"/>
  <c r="DF45" i="8" s="1"/>
  <c r="DD46" i="8"/>
  <c r="DE46" i="8"/>
  <c r="DF46" i="8" s="1"/>
  <c r="DD47" i="8"/>
  <c r="DE47" i="8"/>
  <c r="DF47" i="8" s="1"/>
  <c r="DD48" i="8"/>
  <c r="DE48" i="8"/>
  <c r="DF48" i="8" s="1"/>
  <c r="DD49" i="8"/>
  <c r="DE49" i="8"/>
  <c r="DF49" i="8" s="1"/>
  <c r="DD50" i="8"/>
  <c r="DE50" i="8"/>
  <c r="DF50" i="8" s="1"/>
  <c r="DD51" i="8"/>
  <c r="DE51" i="8"/>
  <c r="DF51" i="8" s="1"/>
  <c r="DD52" i="8"/>
  <c r="DE52" i="8"/>
  <c r="DF52" i="8" s="1"/>
  <c r="DD53" i="8"/>
  <c r="DE53" i="8"/>
  <c r="DF53" i="8" s="1"/>
  <c r="DD54" i="8"/>
  <c r="DE54" i="8"/>
  <c r="DF54" i="8" s="1"/>
  <c r="DD55" i="8"/>
  <c r="DE55" i="8"/>
  <c r="DF55" i="8" s="1"/>
  <c r="DD56" i="8"/>
  <c r="DE56" i="8"/>
  <c r="DF56" i="8" s="1"/>
  <c r="DD57" i="8"/>
  <c r="DE57" i="8"/>
  <c r="DF57" i="8" s="1"/>
  <c r="DD58" i="8"/>
  <c r="DE58" i="8"/>
  <c r="DF58" i="8" s="1"/>
  <c r="DD59" i="8"/>
  <c r="DE59" i="8"/>
  <c r="DF59" i="8" s="1"/>
  <c r="DD60" i="8"/>
  <c r="DE60" i="8"/>
  <c r="DF60" i="8" s="1"/>
  <c r="DD61" i="8"/>
  <c r="DE61" i="8"/>
  <c r="DF61" i="8" s="1"/>
  <c r="DD62" i="8"/>
  <c r="DE62" i="8"/>
  <c r="DF62" i="8" s="1"/>
  <c r="DD63" i="8"/>
  <c r="DE63" i="8"/>
  <c r="DF63" i="8" s="1"/>
  <c r="DD64" i="8"/>
  <c r="DE64" i="8"/>
  <c r="DF64" i="8" s="1"/>
  <c r="DD65" i="8"/>
  <c r="DE65" i="8"/>
  <c r="DF65" i="8" s="1"/>
  <c r="DD66" i="8"/>
  <c r="DE66" i="8"/>
  <c r="DF66" i="8" s="1"/>
  <c r="DD67" i="8"/>
  <c r="DE67" i="8"/>
  <c r="DF67" i="8" s="1"/>
  <c r="DD68" i="8"/>
  <c r="DE68" i="8"/>
  <c r="DF68" i="8" s="1"/>
  <c r="DD69" i="8"/>
  <c r="DE69" i="8"/>
  <c r="DF69" i="8" s="1"/>
  <c r="DD70" i="8"/>
  <c r="DE70" i="8"/>
  <c r="DF70" i="8" s="1"/>
  <c r="DD71" i="8"/>
  <c r="DE71" i="8"/>
  <c r="DF71" i="8" s="1"/>
  <c r="DD72" i="8"/>
  <c r="DE72" i="8"/>
  <c r="DF72" i="8" s="1"/>
  <c r="DD73" i="8"/>
  <c r="DE73" i="8"/>
  <c r="DF73" i="8" s="1"/>
  <c r="DD74" i="8"/>
  <c r="DE74" i="8"/>
  <c r="DF74" i="8" s="1"/>
  <c r="DD75" i="8"/>
  <c r="DE75" i="8"/>
  <c r="DF75" i="8" s="1"/>
  <c r="DD76" i="8"/>
  <c r="DE76" i="8"/>
  <c r="DF76" i="8" s="1"/>
  <c r="DD77" i="8"/>
  <c r="DE77" i="8"/>
  <c r="DF77" i="8" s="1"/>
  <c r="DD78" i="8"/>
  <c r="DE78" i="8"/>
  <c r="DF78" i="8" s="1"/>
  <c r="DD79" i="8"/>
  <c r="DE79" i="8"/>
  <c r="DF79" i="8" s="1"/>
  <c r="DD80" i="8"/>
  <c r="DE80" i="8"/>
  <c r="DF80" i="8" s="1"/>
  <c r="DD81" i="8"/>
  <c r="DE81" i="8"/>
  <c r="DF81" i="8" s="1"/>
  <c r="DD82" i="8"/>
  <c r="DE82" i="8"/>
  <c r="DF82" i="8" s="1"/>
  <c r="DD83" i="8"/>
  <c r="DE83" i="8"/>
  <c r="DF83" i="8" s="1"/>
  <c r="DD84" i="8"/>
  <c r="DE84" i="8"/>
  <c r="DF84" i="8" s="1"/>
  <c r="DO4" i="9"/>
  <c r="DZ5" i="9"/>
  <c r="DY5" i="9"/>
  <c r="DZ6" i="9"/>
  <c r="DY6" i="9"/>
  <c r="DZ7" i="9"/>
  <c r="DY7" i="9"/>
  <c r="DZ8" i="9"/>
  <c r="DY8" i="9"/>
  <c r="DZ9" i="9"/>
  <c r="DY9" i="9"/>
  <c r="DZ10" i="9"/>
  <c r="DY10" i="9"/>
  <c r="DZ11" i="9"/>
  <c r="DY11" i="9"/>
  <c r="DZ12" i="9"/>
  <c r="DY12" i="9"/>
  <c r="DZ13" i="9"/>
  <c r="DY13" i="9"/>
  <c r="DZ14" i="9"/>
  <c r="DY14" i="9"/>
  <c r="DZ15" i="9"/>
  <c r="DY15" i="9"/>
  <c r="DZ16" i="9"/>
  <c r="DY16" i="9"/>
  <c r="DZ17" i="9"/>
  <c r="DY17" i="9"/>
  <c r="DZ18" i="9"/>
  <c r="DY18" i="9"/>
  <c r="DZ19" i="9"/>
  <c r="DY19" i="9"/>
  <c r="DZ20" i="9"/>
  <c r="DY20" i="9"/>
  <c r="DZ21" i="9"/>
  <c r="DY21" i="9"/>
  <c r="DZ22" i="9"/>
  <c r="DY22" i="9"/>
  <c r="DZ23" i="9"/>
  <c r="DY23" i="9"/>
  <c r="DZ24" i="9"/>
  <c r="DY24" i="9"/>
  <c r="DZ25" i="9"/>
  <c r="DY25" i="9"/>
  <c r="DZ26" i="9"/>
  <c r="DY26" i="9"/>
  <c r="DZ27" i="9"/>
  <c r="DY27" i="9"/>
  <c r="DZ28" i="9"/>
  <c r="DY28" i="9"/>
  <c r="DZ29" i="9"/>
  <c r="DY29" i="9"/>
  <c r="DZ30" i="9"/>
  <c r="DY30" i="9"/>
  <c r="DZ31" i="9"/>
  <c r="DY31" i="9"/>
  <c r="DZ32" i="9"/>
  <c r="DY32" i="9"/>
  <c r="DZ33" i="9"/>
  <c r="DY33" i="9"/>
  <c r="DZ34" i="9"/>
  <c r="DY34" i="9"/>
  <c r="DZ35" i="9"/>
  <c r="DY35" i="9"/>
  <c r="DZ36" i="9"/>
  <c r="DY36" i="9"/>
  <c r="DZ37" i="9"/>
  <c r="DY37" i="9"/>
  <c r="DZ38" i="9"/>
  <c r="DY38" i="9"/>
  <c r="DZ39" i="9"/>
  <c r="DY39" i="9"/>
  <c r="DZ40" i="9"/>
  <c r="DY40" i="9"/>
  <c r="DZ41" i="9"/>
  <c r="DY41" i="9"/>
  <c r="DZ42" i="9"/>
  <c r="DY42" i="9"/>
  <c r="DZ43" i="9"/>
  <c r="DY43" i="9"/>
  <c r="DZ44" i="9"/>
  <c r="DY44" i="9"/>
  <c r="DZ45" i="9"/>
  <c r="DY45" i="9"/>
  <c r="DZ46" i="9"/>
  <c r="DY46" i="9"/>
  <c r="DZ47" i="9"/>
  <c r="DY47" i="9"/>
  <c r="DZ48" i="9"/>
  <c r="DY48" i="9"/>
  <c r="DZ49" i="9"/>
  <c r="DY49" i="9"/>
  <c r="DZ50" i="9"/>
  <c r="DY50" i="9"/>
  <c r="DZ51" i="9"/>
  <c r="DY51" i="9"/>
  <c r="DZ52" i="9"/>
  <c r="DY52" i="9"/>
  <c r="DZ53" i="9"/>
  <c r="DY53" i="9"/>
  <c r="DZ54" i="9"/>
  <c r="DY54" i="9"/>
  <c r="DZ55" i="9"/>
  <c r="DY55" i="9"/>
  <c r="DZ56" i="9"/>
  <c r="DY56" i="9"/>
  <c r="DZ57" i="9"/>
  <c r="DY57" i="9"/>
  <c r="DZ58" i="9"/>
  <c r="DY58" i="9"/>
  <c r="DZ59" i="9"/>
  <c r="DY59" i="9"/>
  <c r="DZ60" i="9"/>
  <c r="DY60" i="9"/>
  <c r="DZ61" i="9"/>
  <c r="DY61" i="9"/>
  <c r="DZ62" i="9"/>
  <c r="DY62" i="9"/>
  <c r="DZ63" i="9"/>
  <c r="DY63" i="9"/>
  <c r="DZ64" i="9"/>
  <c r="DY64" i="9"/>
  <c r="DZ65" i="9"/>
  <c r="DY65" i="9"/>
  <c r="DZ66" i="9"/>
  <c r="DY66" i="9"/>
  <c r="DZ67" i="9"/>
  <c r="DY67" i="9"/>
  <c r="DZ68" i="9"/>
  <c r="DY68" i="9"/>
  <c r="DZ69" i="9"/>
  <c r="DY69" i="9"/>
  <c r="DZ70" i="9"/>
  <c r="DY70" i="9"/>
  <c r="DZ71" i="9"/>
  <c r="DY71" i="9"/>
  <c r="DZ72" i="9"/>
  <c r="DY72" i="9"/>
  <c r="DZ73" i="9"/>
  <c r="DY73" i="9"/>
  <c r="DZ74" i="9"/>
  <c r="DY74" i="9"/>
  <c r="DZ75" i="9"/>
  <c r="DY75" i="9"/>
  <c r="DZ76" i="9"/>
  <c r="DY76" i="9"/>
  <c r="DZ77" i="9"/>
  <c r="DY77" i="9"/>
  <c r="DZ78" i="9"/>
  <c r="DY78" i="9"/>
  <c r="DZ79" i="9"/>
  <c r="DY79" i="9"/>
  <c r="DZ80" i="9"/>
  <c r="DY80" i="9"/>
  <c r="DZ81" i="9"/>
  <c r="DY81" i="9"/>
  <c r="DZ82" i="9"/>
  <c r="DY82" i="9"/>
  <c r="DZ83" i="9"/>
  <c r="DY83" i="9"/>
  <c r="DZ84" i="9"/>
  <c r="DY84" i="9"/>
  <c r="CD6" i="8"/>
  <c r="CE6" i="8"/>
  <c r="CE4" i="8"/>
  <c r="CD4" i="8"/>
  <c r="CD5" i="8"/>
  <c r="CE5" i="8"/>
  <c r="CD7" i="8"/>
  <c r="CE7" i="8"/>
  <c r="CD8" i="8"/>
  <c r="CE8" i="8"/>
  <c r="CD9" i="8"/>
  <c r="CE9" i="8"/>
  <c r="CD10" i="8"/>
  <c r="CE10" i="8"/>
  <c r="CD11" i="8"/>
  <c r="CE11" i="8"/>
  <c r="CD12" i="8"/>
  <c r="CE12" i="8"/>
  <c r="CD13" i="8"/>
  <c r="CE13" i="8"/>
  <c r="CD14" i="8"/>
  <c r="CE14" i="8"/>
  <c r="CD15" i="8"/>
  <c r="CE15" i="8"/>
  <c r="CD16" i="8"/>
  <c r="CE16" i="8"/>
  <c r="CD17" i="8"/>
  <c r="CE17" i="8"/>
  <c r="CD18" i="8"/>
  <c r="CE18" i="8"/>
  <c r="CD19" i="8"/>
  <c r="CE19" i="8"/>
  <c r="CD20" i="8"/>
  <c r="CE20" i="8"/>
  <c r="CD21" i="8"/>
  <c r="CE21" i="8"/>
  <c r="CD22" i="8"/>
  <c r="CE22" i="8"/>
  <c r="CD23" i="8"/>
  <c r="CE23" i="8"/>
  <c r="CD24" i="8"/>
  <c r="CE24" i="8"/>
  <c r="CD25" i="8"/>
  <c r="CE25" i="8"/>
  <c r="CD26" i="8"/>
  <c r="CE26" i="8"/>
  <c r="CD27" i="8"/>
  <c r="CE27" i="8"/>
  <c r="CD28" i="8"/>
  <c r="CE28" i="8"/>
  <c r="CD29" i="8"/>
  <c r="CE29" i="8"/>
  <c r="CD30" i="8"/>
  <c r="CE30" i="8"/>
  <c r="CD31" i="8"/>
  <c r="CE31" i="8"/>
  <c r="CD32" i="8"/>
  <c r="CE32" i="8"/>
  <c r="CD33" i="8"/>
  <c r="CE33" i="8"/>
  <c r="CD34" i="8"/>
  <c r="CE34" i="8"/>
  <c r="CD35" i="8"/>
  <c r="CE35" i="8"/>
  <c r="CD36" i="8"/>
  <c r="CE36" i="8"/>
  <c r="CD37" i="8"/>
  <c r="CE37" i="8"/>
  <c r="CD38" i="8"/>
  <c r="CE38" i="8"/>
  <c r="CD39" i="8"/>
  <c r="CE39" i="8"/>
  <c r="CD40" i="8"/>
  <c r="CE40" i="8"/>
  <c r="CD41" i="8"/>
  <c r="CE41" i="8"/>
  <c r="CD42" i="8"/>
  <c r="CE42" i="8"/>
  <c r="CD43" i="8"/>
  <c r="CE43" i="8"/>
  <c r="CD44" i="8"/>
  <c r="CE44" i="8"/>
  <c r="CD45" i="8"/>
  <c r="CE45" i="8"/>
  <c r="CD46" i="8"/>
  <c r="CE46" i="8"/>
  <c r="CD47" i="8"/>
  <c r="CE47" i="8"/>
  <c r="CD48" i="8"/>
  <c r="CE48" i="8"/>
  <c r="CD49" i="8"/>
  <c r="CE49" i="8"/>
  <c r="CD50" i="8"/>
  <c r="CE50" i="8"/>
  <c r="CD51" i="8"/>
  <c r="CE51" i="8"/>
  <c r="CD52" i="8"/>
  <c r="CE52" i="8"/>
  <c r="CD53" i="8"/>
  <c r="CE53" i="8"/>
  <c r="CD54" i="8"/>
  <c r="CE54" i="8"/>
  <c r="CD55" i="8"/>
  <c r="CE55" i="8"/>
  <c r="CD56" i="8"/>
  <c r="CE56" i="8"/>
  <c r="CD57" i="8"/>
  <c r="CE57" i="8"/>
  <c r="CD58" i="8"/>
  <c r="CE58" i="8"/>
  <c r="CD59" i="8"/>
  <c r="CE59" i="8"/>
  <c r="CD60" i="8"/>
  <c r="CE60" i="8"/>
  <c r="CD61" i="8"/>
  <c r="CE61" i="8"/>
  <c r="CD62" i="8"/>
  <c r="CE62" i="8"/>
  <c r="CD63" i="8"/>
  <c r="CE63" i="8"/>
  <c r="CD64" i="8"/>
  <c r="CE64" i="8"/>
  <c r="CD65" i="8"/>
  <c r="CE65" i="8"/>
  <c r="CD66" i="8"/>
  <c r="CE66" i="8"/>
  <c r="CD67" i="8"/>
  <c r="CE67" i="8"/>
  <c r="CD68" i="8"/>
  <c r="CE68" i="8"/>
  <c r="CD69" i="8"/>
  <c r="CE69" i="8"/>
  <c r="CD70" i="8"/>
  <c r="CE70" i="8"/>
  <c r="CD71" i="8"/>
  <c r="CE71" i="8"/>
  <c r="CD72" i="8"/>
  <c r="CE72" i="8"/>
  <c r="CD73" i="8"/>
  <c r="CE73" i="8"/>
  <c r="CD74" i="8"/>
  <c r="CE74" i="8"/>
  <c r="CD75" i="8"/>
  <c r="CE75" i="8"/>
  <c r="CD76" i="8"/>
  <c r="CE76" i="8"/>
  <c r="CD77" i="8"/>
  <c r="CE77" i="8"/>
  <c r="CD78" i="8"/>
  <c r="CE78" i="8"/>
  <c r="CD79" i="8"/>
  <c r="CE79" i="8"/>
  <c r="CD80" i="8"/>
  <c r="CE80" i="8"/>
  <c r="CD81" i="8"/>
  <c r="CE81" i="8"/>
  <c r="CD82" i="8"/>
  <c r="CE82" i="8"/>
  <c r="CD83" i="8"/>
  <c r="CE83" i="8"/>
  <c r="CD84" i="8"/>
  <c r="CE84" i="8"/>
  <c r="BS4" i="8"/>
  <c r="BR4" i="8"/>
  <c r="BR6" i="8"/>
  <c r="BS6" i="8"/>
  <c r="BR5" i="8"/>
  <c r="BS5" i="8"/>
  <c r="BR7" i="8"/>
  <c r="BS7" i="8"/>
  <c r="BR8" i="8"/>
  <c r="BS8" i="8"/>
  <c r="BR9" i="8"/>
  <c r="BS9" i="8"/>
  <c r="BR10" i="8"/>
  <c r="BS10" i="8"/>
  <c r="BR11" i="8"/>
  <c r="BS11" i="8"/>
  <c r="BR12" i="8"/>
  <c r="BS12" i="8"/>
  <c r="BR13" i="8"/>
  <c r="BS13" i="8"/>
  <c r="BR14" i="8"/>
  <c r="BS14" i="8"/>
  <c r="BR15" i="8"/>
  <c r="BS15" i="8"/>
  <c r="BR16" i="8"/>
  <c r="BS16" i="8"/>
  <c r="BR17" i="8"/>
  <c r="BS17" i="8"/>
  <c r="BR18" i="8"/>
  <c r="BS18" i="8"/>
  <c r="BR19" i="8"/>
  <c r="BS19" i="8"/>
  <c r="BR20" i="8"/>
  <c r="BS20" i="8"/>
  <c r="BR21" i="8"/>
  <c r="BS21" i="8"/>
  <c r="BR22" i="8"/>
  <c r="BS22" i="8"/>
  <c r="BR23" i="8"/>
  <c r="BS23" i="8"/>
  <c r="BR24" i="8"/>
  <c r="BS24" i="8"/>
  <c r="BR25" i="8"/>
  <c r="BS25" i="8"/>
  <c r="BR26" i="8"/>
  <c r="BS26" i="8"/>
  <c r="BR27" i="8"/>
  <c r="BS27" i="8"/>
  <c r="BR28" i="8"/>
  <c r="BS28" i="8"/>
  <c r="BR29" i="8"/>
  <c r="BS29" i="8"/>
  <c r="BR30" i="8"/>
  <c r="BS30" i="8"/>
  <c r="BR31" i="8"/>
  <c r="BS31" i="8"/>
  <c r="BR32" i="8"/>
  <c r="BS32" i="8"/>
  <c r="BR33" i="8"/>
  <c r="BS33" i="8"/>
  <c r="BR34" i="8"/>
  <c r="BS34" i="8"/>
  <c r="BR35" i="8"/>
  <c r="BS35" i="8"/>
  <c r="BR36" i="8"/>
  <c r="BS36" i="8"/>
  <c r="BR37" i="8"/>
  <c r="BS37" i="8"/>
  <c r="BR38" i="8"/>
  <c r="BS38" i="8"/>
  <c r="BR39" i="8"/>
  <c r="BS39" i="8"/>
  <c r="BR40" i="8"/>
  <c r="BS40" i="8"/>
  <c r="BR41" i="8"/>
  <c r="BS41" i="8"/>
  <c r="BR42" i="8"/>
  <c r="BS42" i="8"/>
  <c r="BR43" i="8"/>
  <c r="BS43" i="8"/>
  <c r="BR44" i="8"/>
  <c r="BS44" i="8"/>
  <c r="BR45" i="8"/>
  <c r="BS45" i="8"/>
  <c r="BR46" i="8"/>
  <c r="BS46" i="8"/>
  <c r="BR47" i="8"/>
  <c r="BS47" i="8"/>
  <c r="BR48" i="8"/>
  <c r="BS48" i="8"/>
  <c r="BR49" i="8"/>
  <c r="BS49" i="8"/>
  <c r="BR50" i="8"/>
  <c r="BS50" i="8"/>
  <c r="BR51" i="8"/>
  <c r="BS51" i="8"/>
  <c r="BR52" i="8"/>
  <c r="BS52" i="8"/>
  <c r="BR53" i="8"/>
  <c r="BS53" i="8"/>
  <c r="BR54" i="8"/>
  <c r="BS54" i="8"/>
  <c r="BR55" i="8"/>
  <c r="BS55" i="8"/>
  <c r="BR56" i="8"/>
  <c r="BS56" i="8"/>
  <c r="BR57" i="8"/>
  <c r="BS57" i="8"/>
  <c r="BR58" i="8"/>
  <c r="BS58" i="8"/>
  <c r="BR59" i="8"/>
  <c r="BS59" i="8"/>
  <c r="BR60" i="8"/>
  <c r="BS60" i="8"/>
  <c r="BR61" i="8"/>
  <c r="BS61" i="8"/>
  <c r="BR62" i="8"/>
  <c r="BS62" i="8"/>
  <c r="BR63" i="8"/>
  <c r="BS63" i="8"/>
  <c r="BR64" i="8"/>
  <c r="BS64" i="8"/>
  <c r="BR65" i="8"/>
  <c r="BS65" i="8"/>
  <c r="BR66" i="8"/>
  <c r="BS66" i="8"/>
  <c r="BR67" i="8"/>
  <c r="BS67" i="8"/>
  <c r="BR68" i="8"/>
  <c r="BS68" i="8"/>
  <c r="BR69" i="8"/>
  <c r="BS69" i="8"/>
  <c r="BR70" i="8"/>
  <c r="BS70" i="8"/>
  <c r="BR71" i="8"/>
  <c r="BS71" i="8"/>
  <c r="BR72" i="8"/>
  <c r="BS72" i="8"/>
  <c r="BR73" i="8"/>
  <c r="BS73" i="8"/>
  <c r="BR74" i="8"/>
  <c r="BS74" i="8"/>
  <c r="BR75" i="8"/>
  <c r="BS75" i="8"/>
  <c r="BR76" i="8"/>
  <c r="BS76" i="8"/>
  <c r="BR77" i="8"/>
  <c r="BS77" i="8"/>
  <c r="BR78" i="8"/>
  <c r="BS78" i="8"/>
  <c r="BR79" i="8"/>
  <c r="BS79" i="8"/>
  <c r="BR80" i="8"/>
  <c r="BS80" i="8"/>
  <c r="BR81" i="8"/>
  <c r="BS81" i="8"/>
  <c r="BR82" i="8"/>
  <c r="BS82" i="8"/>
  <c r="BR83" i="8"/>
  <c r="BS83" i="8"/>
  <c r="BR84" i="8"/>
  <c r="BS84" i="8"/>
  <c r="BT6" i="8"/>
  <c r="BT5"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4" i="8"/>
  <c r="BJ5" i="9"/>
  <c r="BI5" i="9"/>
  <c r="BJ6" i="9"/>
  <c r="BI6" i="9"/>
  <c r="BJ7" i="9"/>
  <c r="BI7" i="9"/>
  <c r="BJ8" i="9"/>
  <c r="BI8" i="9"/>
  <c r="BJ9" i="9"/>
  <c r="BI9" i="9"/>
  <c r="BJ10" i="9"/>
  <c r="BI10" i="9"/>
  <c r="BJ11" i="9"/>
  <c r="BI11" i="9"/>
  <c r="BJ12" i="9"/>
  <c r="BI12" i="9"/>
  <c r="BJ13" i="9"/>
  <c r="BI13" i="9"/>
  <c r="BJ14" i="9"/>
  <c r="BI14" i="9"/>
  <c r="BJ15" i="9"/>
  <c r="BI15" i="9"/>
  <c r="BJ16" i="9"/>
  <c r="BI16" i="9"/>
  <c r="BJ17" i="9"/>
  <c r="BI17" i="9"/>
  <c r="BJ18" i="9"/>
  <c r="BI18" i="9"/>
  <c r="BJ19" i="9"/>
  <c r="BI19" i="9"/>
  <c r="BJ20" i="9"/>
  <c r="BI20" i="9"/>
  <c r="BJ21" i="9"/>
  <c r="BI21" i="9"/>
  <c r="BJ22" i="9"/>
  <c r="BI22" i="9"/>
  <c r="BJ23" i="9"/>
  <c r="BI23" i="9"/>
  <c r="BJ24" i="9"/>
  <c r="BI24" i="9"/>
  <c r="BJ25" i="9"/>
  <c r="BI25" i="9"/>
  <c r="BJ26" i="9"/>
  <c r="BI26" i="9"/>
  <c r="BJ27" i="9"/>
  <c r="BI27" i="9"/>
  <c r="BJ28" i="9"/>
  <c r="BI28" i="9"/>
  <c r="BJ29" i="9"/>
  <c r="BI29" i="9"/>
  <c r="BJ30" i="9"/>
  <c r="BI30" i="9"/>
  <c r="BJ31" i="9"/>
  <c r="BI31" i="9"/>
  <c r="BJ32" i="9"/>
  <c r="BI32" i="9"/>
  <c r="BJ33" i="9"/>
  <c r="BI33" i="9"/>
  <c r="BJ34" i="9"/>
  <c r="BI34" i="9"/>
  <c r="BJ35" i="9"/>
  <c r="BI35" i="9"/>
  <c r="BJ36" i="9"/>
  <c r="BI36" i="9"/>
  <c r="BJ37" i="9"/>
  <c r="BI37" i="9"/>
  <c r="BJ38" i="9"/>
  <c r="BI38" i="9"/>
  <c r="BJ39" i="9"/>
  <c r="BI39" i="9"/>
  <c r="BJ40" i="9"/>
  <c r="BI40" i="9"/>
  <c r="BJ41" i="9"/>
  <c r="BI41" i="9"/>
  <c r="BJ42" i="9"/>
  <c r="BI42" i="9"/>
  <c r="BJ43" i="9"/>
  <c r="BI43" i="9"/>
  <c r="BJ44" i="9"/>
  <c r="BI44" i="9"/>
  <c r="BJ45" i="9"/>
  <c r="BI45" i="9"/>
  <c r="BJ46" i="9"/>
  <c r="BI46" i="9"/>
  <c r="BJ47" i="9"/>
  <c r="BI47" i="9"/>
  <c r="BJ48" i="9"/>
  <c r="BI48" i="9"/>
  <c r="BJ49" i="9"/>
  <c r="BI49" i="9"/>
  <c r="BJ50" i="9"/>
  <c r="BI50" i="9"/>
  <c r="BJ51" i="9"/>
  <c r="BI51" i="9"/>
  <c r="BJ52" i="9"/>
  <c r="BI52" i="9"/>
  <c r="BJ53" i="9"/>
  <c r="BI53" i="9"/>
  <c r="BJ54" i="9"/>
  <c r="BI54" i="9"/>
  <c r="BJ55" i="9"/>
  <c r="BI55" i="9"/>
  <c r="BJ56" i="9"/>
  <c r="BI56" i="9"/>
  <c r="BJ57" i="9"/>
  <c r="BI57" i="9"/>
  <c r="BJ58" i="9"/>
  <c r="BI58" i="9"/>
  <c r="BJ59" i="9"/>
  <c r="BI59" i="9"/>
  <c r="BJ60" i="9"/>
  <c r="BI60" i="9"/>
  <c r="BJ61" i="9"/>
  <c r="BI61" i="9"/>
  <c r="BJ62" i="9"/>
  <c r="BI62" i="9"/>
  <c r="BJ63" i="9"/>
  <c r="BI63" i="9"/>
  <c r="BJ64" i="9"/>
  <c r="BI64" i="9"/>
  <c r="BJ65" i="9"/>
  <c r="BI65" i="9"/>
  <c r="BJ66" i="9"/>
  <c r="BI66" i="9"/>
  <c r="BJ67" i="9"/>
  <c r="BI67" i="9"/>
  <c r="BJ68" i="9"/>
  <c r="BI68" i="9"/>
  <c r="BJ69" i="9"/>
  <c r="BI69" i="9"/>
  <c r="BJ70" i="9"/>
  <c r="BI70" i="9"/>
  <c r="BJ71" i="9"/>
  <c r="BI71" i="9"/>
  <c r="BJ72" i="9"/>
  <c r="BI72" i="9"/>
  <c r="BJ73" i="9"/>
  <c r="BI73" i="9"/>
  <c r="BJ74" i="9"/>
  <c r="BI74" i="9"/>
  <c r="BJ75" i="9"/>
  <c r="BI75" i="9"/>
  <c r="BJ76" i="9"/>
  <c r="BI76" i="9"/>
  <c r="BJ77" i="9"/>
  <c r="BI77" i="9"/>
  <c r="BJ78" i="9"/>
  <c r="BI78" i="9"/>
  <c r="BJ79" i="9"/>
  <c r="BI79" i="9"/>
  <c r="BJ80" i="9"/>
  <c r="BI80" i="9"/>
  <c r="BJ81" i="9"/>
  <c r="BI81" i="9"/>
  <c r="BJ82" i="9"/>
  <c r="BI82" i="9"/>
  <c r="BJ83" i="9"/>
  <c r="BI83" i="9"/>
  <c r="BJ84" i="9"/>
  <c r="BI84" i="9"/>
  <c r="AZ6" i="8"/>
  <c r="AY6" i="8"/>
  <c r="AY4" i="8"/>
  <c r="AZ4" i="8"/>
  <c r="BA4" i="8" s="1"/>
  <c r="AZ5" i="8"/>
  <c r="AY5" i="8"/>
  <c r="AZ7" i="8"/>
  <c r="AY7" i="8"/>
  <c r="AZ8" i="8"/>
  <c r="AY8" i="8"/>
  <c r="AZ9" i="8"/>
  <c r="AY9" i="8"/>
  <c r="AZ10" i="8"/>
  <c r="AY10" i="8"/>
  <c r="AZ11" i="8"/>
  <c r="AY11" i="8"/>
  <c r="AZ12" i="8"/>
  <c r="AY12" i="8"/>
  <c r="AZ13" i="8"/>
  <c r="AY13" i="8"/>
  <c r="AZ14" i="8"/>
  <c r="AY14" i="8"/>
  <c r="AZ15" i="8"/>
  <c r="AY15" i="8"/>
  <c r="AZ16" i="8"/>
  <c r="AY16" i="8"/>
  <c r="AZ17" i="8"/>
  <c r="AY17" i="8"/>
  <c r="AZ18" i="8"/>
  <c r="AY18" i="8"/>
  <c r="AZ19" i="8"/>
  <c r="AY19" i="8"/>
  <c r="AZ20" i="8"/>
  <c r="AY20" i="8"/>
  <c r="AZ21" i="8"/>
  <c r="AY21" i="8"/>
  <c r="AZ22" i="8"/>
  <c r="AY22" i="8"/>
  <c r="AZ23" i="8"/>
  <c r="AY23" i="8"/>
  <c r="AZ24" i="8"/>
  <c r="AY24" i="8"/>
  <c r="AZ25" i="8"/>
  <c r="AY25" i="8"/>
  <c r="AZ26" i="8"/>
  <c r="AY26" i="8"/>
  <c r="AZ27" i="8"/>
  <c r="AY27" i="8"/>
  <c r="AZ28" i="8"/>
  <c r="AY28" i="8"/>
  <c r="AZ29" i="8"/>
  <c r="AY29" i="8"/>
  <c r="AZ30" i="8"/>
  <c r="AY30" i="8"/>
  <c r="AZ31" i="8"/>
  <c r="AY31" i="8"/>
  <c r="AZ32" i="8"/>
  <c r="AY32" i="8"/>
  <c r="AZ33" i="8"/>
  <c r="AY33" i="8"/>
  <c r="AZ34" i="8"/>
  <c r="AY34" i="8"/>
  <c r="AZ35" i="8"/>
  <c r="AY35" i="8"/>
  <c r="AZ36" i="8"/>
  <c r="AY36" i="8"/>
  <c r="AZ37" i="8"/>
  <c r="AY37" i="8"/>
  <c r="AZ38" i="8"/>
  <c r="AY38" i="8"/>
  <c r="AZ39" i="8"/>
  <c r="AY39" i="8"/>
  <c r="AZ40" i="8"/>
  <c r="AY40" i="8"/>
  <c r="AZ41" i="8"/>
  <c r="AY41" i="8"/>
  <c r="AZ42" i="8"/>
  <c r="AY42" i="8"/>
  <c r="AZ43" i="8"/>
  <c r="AY43" i="8"/>
  <c r="AZ44" i="8"/>
  <c r="AY44" i="8"/>
  <c r="AZ45" i="8"/>
  <c r="AY45" i="8"/>
  <c r="AZ46" i="8"/>
  <c r="AY46" i="8"/>
  <c r="AZ47" i="8"/>
  <c r="AY47" i="8"/>
  <c r="AZ48" i="8"/>
  <c r="AY48" i="8"/>
  <c r="AZ49" i="8"/>
  <c r="AY49" i="8"/>
  <c r="AZ50" i="8"/>
  <c r="AY50" i="8"/>
  <c r="AZ51" i="8"/>
  <c r="AY51" i="8"/>
  <c r="AZ52" i="8"/>
  <c r="AY52" i="8"/>
  <c r="AZ53" i="8"/>
  <c r="AY53" i="8"/>
  <c r="AZ54" i="8"/>
  <c r="AY54" i="8"/>
  <c r="AZ55" i="8"/>
  <c r="AY55" i="8"/>
  <c r="AZ56" i="8"/>
  <c r="AY56" i="8"/>
  <c r="AZ57" i="8"/>
  <c r="AY57" i="8"/>
  <c r="AZ58" i="8"/>
  <c r="AY58" i="8"/>
  <c r="AZ59" i="8"/>
  <c r="AY59" i="8"/>
  <c r="AZ60" i="8"/>
  <c r="AY60" i="8"/>
  <c r="AZ61" i="8"/>
  <c r="AY61" i="8"/>
  <c r="AZ62" i="8"/>
  <c r="AY62" i="8"/>
  <c r="AZ63" i="8"/>
  <c r="AY63" i="8"/>
  <c r="AZ64" i="8"/>
  <c r="AY64" i="8"/>
  <c r="AZ65" i="8"/>
  <c r="AY65" i="8"/>
  <c r="AZ66" i="8"/>
  <c r="AY66" i="8"/>
  <c r="AZ67" i="8"/>
  <c r="AY67" i="8"/>
  <c r="AZ68" i="8"/>
  <c r="AY68" i="8"/>
  <c r="AZ69" i="8"/>
  <c r="AY69" i="8"/>
  <c r="AZ70" i="8"/>
  <c r="AY70" i="8"/>
  <c r="AZ71" i="8"/>
  <c r="AY71" i="8"/>
  <c r="AZ72" i="8"/>
  <c r="AY72" i="8"/>
  <c r="AZ73" i="8"/>
  <c r="AY73" i="8"/>
  <c r="AZ74" i="8"/>
  <c r="AY74" i="8"/>
  <c r="AZ75" i="8"/>
  <c r="AY75" i="8"/>
  <c r="AZ76" i="8"/>
  <c r="AY76" i="8"/>
  <c r="AZ77" i="8"/>
  <c r="AY77" i="8"/>
  <c r="AZ78" i="8"/>
  <c r="AY78" i="8"/>
  <c r="AZ79" i="8"/>
  <c r="AY79" i="8"/>
  <c r="AZ80" i="8"/>
  <c r="AY80" i="8"/>
  <c r="AZ81" i="8"/>
  <c r="AY81" i="8"/>
  <c r="AZ82" i="8"/>
  <c r="AY82" i="8"/>
  <c r="AZ83" i="8"/>
  <c r="AY83" i="8"/>
  <c r="AZ84" i="8"/>
  <c r="AY84" i="8"/>
  <c r="AE6" i="8"/>
  <c r="AG6" i="8"/>
  <c r="AK6" i="8"/>
  <c r="AE9" i="8"/>
  <c r="AG9" i="8"/>
  <c r="AK9" i="8"/>
  <c r="AE50" i="8"/>
  <c r="AG50" i="8"/>
  <c r="AK50" i="8"/>
  <c r="AE12" i="8"/>
  <c r="AG12" i="8"/>
  <c r="AK12" i="8"/>
  <c r="AE22" i="8"/>
  <c r="AG22" i="8"/>
  <c r="AK22" i="8"/>
  <c r="AE32" i="8"/>
  <c r="AG32" i="8"/>
  <c r="AK32" i="8"/>
  <c r="AE42" i="8"/>
  <c r="AG42" i="8"/>
  <c r="AK42" i="8"/>
  <c r="AE52" i="8"/>
  <c r="AG52" i="8"/>
  <c r="AK52" i="8"/>
  <c r="AE62" i="8"/>
  <c r="AG62" i="8"/>
  <c r="AK62" i="8"/>
  <c r="AE72" i="8"/>
  <c r="AG72" i="8"/>
  <c r="AK72" i="8"/>
  <c r="AE82" i="8"/>
  <c r="AG82" i="8"/>
  <c r="AK82" i="8"/>
  <c r="AE81" i="8"/>
  <c r="AG81" i="8"/>
  <c r="AK81" i="8"/>
  <c r="AE14" i="8"/>
  <c r="AG14" i="8"/>
  <c r="AK14" i="8"/>
  <c r="AE24" i="8"/>
  <c r="AG24" i="8"/>
  <c r="AK24" i="8"/>
  <c r="AE34" i="8"/>
  <c r="AG34" i="8"/>
  <c r="AK34" i="8"/>
  <c r="AE44" i="8"/>
  <c r="AG44" i="8"/>
  <c r="AK44" i="8"/>
  <c r="AE54" i="8"/>
  <c r="AG54" i="8"/>
  <c r="AK54" i="8"/>
  <c r="AE64" i="8"/>
  <c r="AG64" i="8"/>
  <c r="AK64" i="8"/>
  <c r="AE74" i="8"/>
  <c r="AG74" i="8"/>
  <c r="AK74" i="8"/>
  <c r="AE84" i="8"/>
  <c r="AG84" i="8"/>
  <c r="AK84" i="8"/>
  <c r="AE5" i="8"/>
  <c r="AG5" i="8"/>
  <c r="AK5" i="8"/>
  <c r="AE15" i="8"/>
  <c r="AG15" i="8"/>
  <c r="AK15" i="8"/>
  <c r="AE25" i="8"/>
  <c r="AG25" i="8"/>
  <c r="AK25" i="8"/>
  <c r="AE45" i="8"/>
  <c r="AG45" i="8"/>
  <c r="AK45" i="8"/>
  <c r="AE55" i="8"/>
  <c r="AG55" i="8"/>
  <c r="AK55" i="8"/>
  <c r="AE65" i="8"/>
  <c r="AG65" i="8"/>
  <c r="AK65" i="8"/>
  <c r="AE75" i="8"/>
  <c r="AG75" i="8"/>
  <c r="AK75" i="8"/>
  <c r="AE18" i="8"/>
  <c r="AG18" i="8"/>
  <c r="AK18" i="8"/>
  <c r="AE68" i="8"/>
  <c r="AG68" i="8"/>
  <c r="AK68" i="8"/>
  <c r="AE16" i="8"/>
  <c r="AG16" i="8"/>
  <c r="AK16" i="8"/>
  <c r="AE26" i="8"/>
  <c r="AG26" i="8"/>
  <c r="AK26" i="8"/>
  <c r="AE36" i="8"/>
  <c r="AG36" i="8"/>
  <c r="AK36" i="8"/>
  <c r="AE46" i="8"/>
  <c r="AG46" i="8"/>
  <c r="AK46" i="8"/>
  <c r="AE56" i="8"/>
  <c r="AG56" i="8"/>
  <c r="AK56" i="8"/>
  <c r="AE66" i="8"/>
  <c r="AG66" i="8"/>
  <c r="AK66" i="8"/>
  <c r="AE76" i="8"/>
  <c r="AG76" i="8"/>
  <c r="AK76" i="8"/>
  <c r="AE7" i="8"/>
  <c r="AG7" i="8"/>
  <c r="AK7" i="8"/>
  <c r="AE27" i="8"/>
  <c r="AG27" i="8"/>
  <c r="AK27" i="8"/>
  <c r="AE37" i="8"/>
  <c r="AG37" i="8"/>
  <c r="AK37" i="8"/>
  <c r="AE47" i="8"/>
  <c r="AG47" i="8"/>
  <c r="AK47" i="8"/>
  <c r="AE57" i="8"/>
  <c r="AG57" i="8"/>
  <c r="AK57" i="8"/>
  <c r="AE67" i="8"/>
  <c r="AG67" i="8"/>
  <c r="AK67" i="8"/>
  <c r="AE77" i="8"/>
  <c r="AG77" i="8"/>
  <c r="AK77" i="8"/>
  <c r="AE28" i="8"/>
  <c r="AG28" i="8"/>
  <c r="AK28" i="8"/>
  <c r="AE48" i="8"/>
  <c r="AG48" i="8"/>
  <c r="AK48" i="8"/>
  <c r="AE17" i="8"/>
  <c r="AG17" i="8"/>
  <c r="AK17" i="8"/>
  <c r="AE8" i="8"/>
  <c r="AG8" i="8"/>
  <c r="AK8" i="8"/>
  <c r="AE51" i="8"/>
  <c r="AG51" i="8"/>
  <c r="AK51" i="8"/>
  <c r="AE13" i="8"/>
  <c r="AG13" i="8"/>
  <c r="AK13" i="8"/>
  <c r="AE23" i="8"/>
  <c r="AG23" i="8"/>
  <c r="AK23" i="8"/>
  <c r="AE33" i="8"/>
  <c r="AG33" i="8"/>
  <c r="AK33" i="8"/>
  <c r="AE43" i="8"/>
  <c r="AG43" i="8"/>
  <c r="AK43" i="8"/>
  <c r="AE53" i="8"/>
  <c r="AG53" i="8"/>
  <c r="AK53" i="8"/>
  <c r="AE63" i="8"/>
  <c r="AG63" i="8"/>
  <c r="AK63" i="8"/>
  <c r="AE73" i="8"/>
  <c r="AG73" i="8"/>
  <c r="AK73" i="8"/>
  <c r="AE83" i="8"/>
  <c r="AG83" i="8"/>
  <c r="AK83" i="8"/>
  <c r="AE38" i="8"/>
  <c r="AG38" i="8"/>
  <c r="AK38" i="8"/>
  <c r="AE58" i="8"/>
  <c r="AG58" i="8"/>
  <c r="AK58" i="8"/>
  <c r="AE78" i="8"/>
  <c r="AG78" i="8"/>
  <c r="AK78" i="8"/>
  <c r="AE29" i="8"/>
  <c r="AG29" i="8"/>
  <c r="AK29" i="8"/>
  <c r="AE69" i="8"/>
  <c r="AG69" i="8"/>
  <c r="AK69" i="8"/>
  <c r="AE70" i="8"/>
  <c r="AG70" i="8"/>
  <c r="AK70" i="8"/>
  <c r="AE19" i="8"/>
  <c r="AG19" i="8"/>
  <c r="AK19" i="8"/>
  <c r="AE59" i="8"/>
  <c r="AG59" i="8"/>
  <c r="AK59" i="8"/>
  <c r="AE80" i="8"/>
  <c r="AG80" i="8"/>
  <c r="AK80" i="8"/>
  <c r="AE39" i="8"/>
  <c r="AG39" i="8"/>
  <c r="AK39" i="8"/>
  <c r="AE79" i="8"/>
  <c r="AG79" i="8"/>
  <c r="AK79" i="8"/>
  <c r="AE49" i="8"/>
  <c r="AG49" i="8"/>
  <c r="AK49" i="8"/>
  <c r="AE10" i="8"/>
  <c r="AG10" i="8"/>
  <c r="AK10" i="8"/>
  <c r="AE20" i="8"/>
  <c r="AG20" i="8"/>
  <c r="AK20" i="8"/>
  <c r="AE30" i="8"/>
  <c r="AG30" i="8"/>
  <c r="AK30" i="8"/>
  <c r="AE40" i="8"/>
  <c r="AG40" i="8"/>
  <c r="AK40" i="8"/>
  <c r="AE60" i="8"/>
  <c r="AG60" i="8"/>
  <c r="AK60" i="8"/>
  <c r="AE71" i="8"/>
  <c r="AG71" i="8"/>
  <c r="AK71" i="8"/>
  <c r="AE35" i="8"/>
  <c r="AG35" i="8"/>
  <c r="AK35" i="8"/>
  <c r="AE11" i="8"/>
  <c r="AG11" i="8"/>
  <c r="AK11" i="8"/>
  <c r="AE21" i="8"/>
  <c r="AG21" i="8"/>
  <c r="AK21" i="8"/>
  <c r="AE31" i="8"/>
  <c r="AG31" i="8"/>
  <c r="AK31" i="8"/>
  <c r="AE41" i="8"/>
  <c r="AG41" i="8"/>
  <c r="AK41" i="8"/>
  <c r="AE61" i="8"/>
  <c r="AG61" i="8"/>
  <c r="AK61" i="8"/>
  <c r="AK4" i="8"/>
  <c r="AG4" i="8"/>
  <c r="AQ4" i="9"/>
  <c r="AP4" i="9"/>
  <c r="AQ5" i="9"/>
  <c r="AP5" i="9"/>
  <c r="AQ6" i="9"/>
  <c r="AP6" i="9"/>
  <c r="AQ7" i="9"/>
  <c r="AP7" i="9"/>
  <c r="AQ8" i="9"/>
  <c r="AP8" i="9"/>
  <c r="AQ9" i="9"/>
  <c r="AP9" i="9"/>
  <c r="AQ10" i="9"/>
  <c r="AP10" i="9"/>
  <c r="AQ11" i="9"/>
  <c r="AP11" i="9"/>
  <c r="AQ12" i="9"/>
  <c r="AP12" i="9"/>
  <c r="AQ13" i="9"/>
  <c r="AP13" i="9"/>
  <c r="AQ14" i="9"/>
  <c r="AP14" i="9"/>
  <c r="AQ15" i="9"/>
  <c r="AP15" i="9"/>
  <c r="AQ16" i="9"/>
  <c r="AP16" i="9"/>
  <c r="AQ17" i="9"/>
  <c r="AP17" i="9"/>
  <c r="AQ18" i="9"/>
  <c r="AP18" i="9"/>
  <c r="AQ19" i="9"/>
  <c r="AP19" i="9"/>
  <c r="AQ20" i="9"/>
  <c r="AP20" i="9"/>
  <c r="AQ21" i="9"/>
  <c r="AP21" i="9"/>
  <c r="AQ22" i="9"/>
  <c r="AP22" i="9"/>
  <c r="AQ23" i="9"/>
  <c r="AP23" i="9"/>
  <c r="AQ24" i="9"/>
  <c r="AP24" i="9"/>
  <c r="AQ25" i="9"/>
  <c r="AP25" i="9"/>
  <c r="AQ26" i="9"/>
  <c r="AP26" i="9"/>
  <c r="AQ27" i="9"/>
  <c r="AP27" i="9"/>
  <c r="AQ28" i="9"/>
  <c r="AP28" i="9"/>
  <c r="AQ29" i="9"/>
  <c r="AP29" i="9"/>
  <c r="AQ30" i="9"/>
  <c r="AP30" i="9"/>
  <c r="AQ31" i="9"/>
  <c r="AP31" i="9"/>
  <c r="AQ32" i="9"/>
  <c r="AP32" i="9"/>
  <c r="AQ33" i="9"/>
  <c r="AP33" i="9"/>
  <c r="AQ34" i="9"/>
  <c r="AP34" i="9"/>
  <c r="AQ35" i="9"/>
  <c r="AP35" i="9"/>
  <c r="AQ36" i="9"/>
  <c r="AP36" i="9"/>
  <c r="AQ37" i="9"/>
  <c r="AP37" i="9"/>
  <c r="AQ38" i="9"/>
  <c r="AP38" i="9"/>
  <c r="AQ39" i="9"/>
  <c r="AP39" i="9"/>
  <c r="AQ40" i="9"/>
  <c r="AP40" i="9"/>
  <c r="AQ41" i="9"/>
  <c r="AP41" i="9"/>
  <c r="AQ42" i="9"/>
  <c r="AP42" i="9"/>
  <c r="AQ43" i="9"/>
  <c r="AP43" i="9"/>
  <c r="AQ44" i="9"/>
  <c r="AP44" i="9"/>
  <c r="AQ45" i="9"/>
  <c r="AP45" i="9"/>
  <c r="AQ46" i="9"/>
  <c r="AP46" i="9"/>
  <c r="AQ47" i="9"/>
  <c r="AP47" i="9"/>
  <c r="AQ48" i="9"/>
  <c r="AP48" i="9"/>
  <c r="AQ49" i="9"/>
  <c r="AP49" i="9"/>
  <c r="AQ50" i="9"/>
  <c r="AP50" i="9"/>
  <c r="AQ51" i="9"/>
  <c r="AP51" i="9"/>
  <c r="AQ52" i="9"/>
  <c r="AP52" i="9"/>
  <c r="AQ53" i="9"/>
  <c r="AP53" i="9"/>
  <c r="AQ54" i="9"/>
  <c r="AP54" i="9"/>
  <c r="AQ55" i="9"/>
  <c r="AP55" i="9"/>
  <c r="AQ56" i="9"/>
  <c r="AP56" i="9"/>
  <c r="AQ57" i="9"/>
  <c r="AP57" i="9"/>
  <c r="AQ58" i="9"/>
  <c r="AP58" i="9"/>
  <c r="AQ59" i="9"/>
  <c r="AP59" i="9"/>
  <c r="AQ60" i="9"/>
  <c r="AP60" i="9"/>
  <c r="AQ61" i="9"/>
  <c r="AP61" i="9"/>
  <c r="AQ62" i="9"/>
  <c r="AP62" i="9"/>
  <c r="AQ63" i="9"/>
  <c r="AP63" i="9"/>
  <c r="AQ64" i="9"/>
  <c r="AP64" i="9"/>
  <c r="AQ65" i="9"/>
  <c r="AP65" i="9"/>
  <c r="AQ66" i="9"/>
  <c r="AP66" i="9"/>
  <c r="AQ67" i="9"/>
  <c r="AP67" i="9"/>
  <c r="AQ68" i="9"/>
  <c r="AP68" i="9"/>
  <c r="AQ69" i="9"/>
  <c r="AP69" i="9"/>
  <c r="AQ70" i="9"/>
  <c r="AP70" i="9"/>
  <c r="AQ71" i="9"/>
  <c r="AP71" i="9"/>
  <c r="AQ72" i="9"/>
  <c r="AP72" i="9"/>
  <c r="AQ73" i="9"/>
  <c r="AP73" i="9"/>
  <c r="AQ74" i="9"/>
  <c r="AP74" i="9"/>
  <c r="AQ75" i="9"/>
  <c r="AP75" i="9"/>
  <c r="AQ76" i="9"/>
  <c r="AP76" i="9"/>
  <c r="AQ77" i="9"/>
  <c r="AP77" i="9"/>
  <c r="AQ78" i="9"/>
  <c r="AP78" i="9"/>
  <c r="AQ79" i="9"/>
  <c r="AP79" i="9"/>
  <c r="AQ80" i="9"/>
  <c r="AP80" i="9"/>
  <c r="AQ81" i="9"/>
  <c r="AP81" i="9"/>
  <c r="AQ82" i="9"/>
  <c r="AP82" i="9"/>
  <c r="AQ83" i="9"/>
  <c r="AP83" i="9"/>
  <c r="AQ84" i="9"/>
  <c r="AP84" i="9"/>
  <c r="AE4" i="8"/>
  <c r="R6" i="8"/>
  <c r="P6" i="8"/>
  <c r="N6" i="8"/>
  <c r="R9" i="8"/>
  <c r="P9" i="8"/>
  <c r="N9" i="8"/>
  <c r="R50" i="8"/>
  <c r="P50" i="8"/>
  <c r="N50" i="8"/>
  <c r="R12" i="8"/>
  <c r="P12" i="8"/>
  <c r="N12" i="8"/>
  <c r="R22" i="8"/>
  <c r="P22" i="8"/>
  <c r="N22" i="8"/>
  <c r="R32" i="8"/>
  <c r="P32" i="8"/>
  <c r="N32" i="8"/>
  <c r="R42" i="8"/>
  <c r="P42" i="8"/>
  <c r="N42" i="8"/>
  <c r="R52" i="8"/>
  <c r="P52" i="8"/>
  <c r="N52" i="8"/>
  <c r="R62" i="8"/>
  <c r="P62" i="8"/>
  <c r="N62" i="8"/>
  <c r="R72" i="8"/>
  <c r="P72" i="8"/>
  <c r="N72" i="8"/>
  <c r="R82" i="8"/>
  <c r="P82" i="8"/>
  <c r="N82" i="8"/>
  <c r="R81" i="8"/>
  <c r="P81" i="8"/>
  <c r="N81" i="8"/>
  <c r="R14" i="8"/>
  <c r="P14" i="8"/>
  <c r="N14" i="8"/>
  <c r="R24" i="8"/>
  <c r="P24" i="8"/>
  <c r="N24" i="8"/>
  <c r="R34" i="8"/>
  <c r="P34" i="8"/>
  <c r="N34" i="8"/>
  <c r="R44" i="8"/>
  <c r="P44" i="8"/>
  <c r="N44" i="8"/>
  <c r="R54" i="8"/>
  <c r="P54" i="8"/>
  <c r="N54" i="8"/>
  <c r="R64" i="8"/>
  <c r="P64" i="8"/>
  <c r="N64" i="8"/>
  <c r="R74" i="8"/>
  <c r="P74" i="8"/>
  <c r="N74" i="8"/>
  <c r="R84" i="8"/>
  <c r="P84" i="8"/>
  <c r="N84" i="8"/>
  <c r="R5" i="8"/>
  <c r="P5" i="8"/>
  <c r="N5" i="8"/>
  <c r="R15" i="8"/>
  <c r="P15" i="8"/>
  <c r="N15" i="8"/>
  <c r="R25" i="8"/>
  <c r="P25" i="8"/>
  <c r="N25" i="8"/>
  <c r="R45" i="8"/>
  <c r="P45" i="8"/>
  <c r="N45" i="8"/>
  <c r="R55" i="8"/>
  <c r="P55" i="8"/>
  <c r="N55" i="8"/>
  <c r="R65" i="8"/>
  <c r="P65" i="8"/>
  <c r="N65" i="8"/>
  <c r="R75" i="8"/>
  <c r="P75" i="8"/>
  <c r="N75" i="8"/>
  <c r="R18" i="8"/>
  <c r="P18" i="8"/>
  <c r="N18" i="8"/>
  <c r="R68" i="8"/>
  <c r="P68" i="8"/>
  <c r="N68" i="8"/>
  <c r="J16" i="8"/>
  <c r="R16" i="8"/>
  <c r="P16" i="8"/>
  <c r="N16" i="8"/>
  <c r="R26" i="8"/>
  <c r="P26" i="8"/>
  <c r="N26" i="8"/>
  <c r="R36" i="8"/>
  <c r="P36" i="8"/>
  <c r="N36" i="8"/>
  <c r="R46" i="8"/>
  <c r="P46" i="8"/>
  <c r="N46" i="8"/>
  <c r="R56" i="8"/>
  <c r="P56" i="8"/>
  <c r="N56" i="8"/>
  <c r="R66" i="8"/>
  <c r="P66" i="8"/>
  <c r="N66" i="8"/>
  <c r="R76" i="8"/>
  <c r="P76" i="8"/>
  <c r="N76" i="8"/>
  <c r="R7" i="8"/>
  <c r="P7" i="8"/>
  <c r="N7" i="8"/>
  <c r="R27" i="8"/>
  <c r="P27" i="8"/>
  <c r="N27" i="8"/>
  <c r="R37" i="8"/>
  <c r="P37" i="8"/>
  <c r="N37" i="8"/>
  <c r="R47" i="8"/>
  <c r="P47" i="8"/>
  <c r="N47" i="8"/>
  <c r="R57" i="8"/>
  <c r="P57" i="8"/>
  <c r="N57" i="8"/>
  <c r="R67" i="8"/>
  <c r="P67" i="8"/>
  <c r="N67" i="8"/>
  <c r="R77" i="8"/>
  <c r="P77" i="8"/>
  <c r="N77" i="8"/>
  <c r="R28" i="8"/>
  <c r="P28" i="8"/>
  <c r="N28" i="8"/>
  <c r="R48" i="8"/>
  <c r="P48" i="8"/>
  <c r="N48" i="8"/>
  <c r="R17" i="8"/>
  <c r="P17" i="8"/>
  <c r="N17" i="8"/>
  <c r="R8" i="8"/>
  <c r="P8" i="8"/>
  <c r="N8" i="8"/>
  <c r="R51" i="8"/>
  <c r="P51" i="8"/>
  <c r="N51" i="8"/>
  <c r="R13" i="8"/>
  <c r="P13" i="8"/>
  <c r="N13" i="8"/>
  <c r="K23" i="8"/>
  <c r="R23" i="8"/>
  <c r="P23" i="8"/>
  <c r="N23" i="8"/>
  <c r="K33" i="8"/>
  <c r="R33" i="8"/>
  <c r="P33" i="8"/>
  <c r="N33" i="8"/>
  <c r="R43" i="8"/>
  <c r="P43" i="8"/>
  <c r="N43" i="8"/>
  <c r="R53" i="8"/>
  <c r="P53" i="8"/>
  <c r="N53" i="8"/>
  <c r="R63" i="8"/>
  <c r="P63" i="8"/>
  <c r="N63" i="8"/>
  <c r="R73" i="8"/>
  <c r="P73" i="8"/>
  <c r="N73" i="8"/>
  <c r="R83" i="8"/>
  <c r="P83" i="8"/>
  <c r="N83" i="8"/>
  <c r="R38" i="8"/>
  <c r="P38" i="8"/>
  <c r="N38" i="8"/>
  <c r="R58" i="8"/>
  <c r="P58" i="8"/>
  <c r="N58" i="8"/>
  <c r="R78" i="8"/>
  <c r="P78" i="8"/>
  <c r="N78" i="8"/>
  <c r="R29" i="8"/>
  <c r="P29" i="8"/>
  <c r="N29" i="8"/>
  <c r="R69" i="8"/>
  <c r="P69" i="8"/>
  <c r="N69" i="8"/>
  <c r="R70" i="8"/>
  <c r="P70" i="8"/>
  <c r="N70" i="8"/>
  <c r="R19" i="8"/>
  <c r="P19" i="8"/>
  <c r="N19" i="8"/>
  <c r="R59" i="8"/>
  <c r="P59" i="8"/>
  <c r="N59" i="8"/>
  <c r="R80" i="8"/>
  <c r="P80" i="8"/>
  <c r="N80" i="8"/>
  <c r="R39" i="8"/>
  <c r="P39" i="8"/>
  <c r="N39" i="8"/>
  <c r="R79" i="8"/>
  <c r="P79" i="8"/>
  <c r="N79" i="8"/>
  <c r="R49" i="8"/>
  <c r="P49" i="8"/>
  <c r="N49" i="8"/>
  <c r="R10" i="8"/>
  <c r="P10" i="8"/>
  <c r="N10" i="8"/>
  <c r="R20" i="8"/>
  <c r="P20" i="8"/>
  <c r="N20" i="8"/>
  <c r="R30" i="8"/>
  <c r="P30" i="8"/>
  <c r="N30" i="8"/>
  <c r="R40" i="8"/>
  <c r="P40" i="8"/>
  <c r="N40" i="8"/>
  <c r="R60" i="8"/>
  <c r="P60" i="8"/>
  <c r="N60" i="8"/>
  <c r="R71" i="8"/>
  <c r="P71" i="8"/>
  <c r="N71" i="8"/>
  <c r="R35" i="8"/>
  <c r="P35" i="8"/>
  <c r="N35" i="8"/>
  <c r="R11" i="8"/>
  <c r="P11" i="8"/>
  <c r="N11" i="8"/>
  <c r="R21" i="8"/>
  <c r="P21" i="8"/>
  <c r="N21" i="8"/>
  <c r="R31" i="8"/>
  <c r="P31" i="8"/>
  <c r="N31" i="8"/>
  <c r="R41" i="8"/>
  <c r="P41" i="8"/>
  <c r="N41" i="8"/>
  <c r="R61" i="8"/>
  <c r="P61" i="8"/>
  <c r="N61" i="8"/>
  <c r="R4" i="8"/>
  <c r="P4" i="8"/>
  <c r="N4" i="8"/>
  <c r="AF4" i="9"/>
  <c r="AE4" i="9"/>
  <c r="AF5" i="9"/>
  <c r="AE5" i="9"/>
  <c r="AF6" i="9"/>
  <c r="AE6" i="9"/>
  <c r="AF7" i="9"/>
  <c r="AE7" i="9"/>
  <c r="AF8" i="9"/>
  <c r="AE8" i="9"/>
  <c r="AF9" i="9"/>
  <c r="AE9" i="9"/>
  <c r="AF10" i="9"/>
  <c r="AE10" i="9"/>
  <c r="AF11" i="9"/>
  <c r="AE11" i="9"/>
  <c r="AF12" i="9"/>
  <c r="AE12" i="9"/>
  <c r="AF13" i="9"/>
  <c r="AE13" i="9"/>
  <c r="AF14" i="9"/>
  <c r="AE14" i="9"/>
  <c r="AF15" i="9"/>
  <c r="AE15" i="9"/>
  <c r="AF16" i="9"/>
  <c r="AE16" i="9"/>
  <c r="AF17" i="9"/>
  <c r="AE17" i="9"/>
  <c r="AF18" i="9"/>
  <c r="AE18" i="9"/>
  <c r="AF19" i="9"/>
  <c r="AE19" i="9"/>
  <c r="AF20" i="9"/>
  <c r="AE20" i="9"/>
  <c r="AF21" i="9"/>
  <c r="AE21" i="9"/>
  <c r="AF22" i="9"/>
  <c r="AE22" i="9"/>
  <c r="AF23" i="9"/>
  <c r="AE23" i="9"/>
  <c r="AF24" i="9"/>
  <c r="AE24" i="9"/>
  <c r="AF25" i="9"/>
  <c r="AE25" i="9"/>
  <c r="AF26" i="9"/>
  <c r="AE26" i="9"/>
  <c r="AF27" i="9"/>
  <c r="AE27" i="9"/>
  <c r="AF28" i="9"/>
  <c r="AE28" i="9"/>
  <c r="AF29" i="9"/>
  <c r="AE29" i="9"/>
  <c r="AF30" i="9"/>
  <c r="AE30" i="9"/>
  <c r="AF31" i="9"/>
  <c r="AE31" i="9"/>
  <c r="AF32" i="9"/>
  <c r="AE32" i="9"/>
  <c r="AF33" i="9"/>
  <c r="AE33" i="9"/>
  <c r="AF34" i="9"/>
  <c r="AE34" i="9"/>
  <c r="AF35" i="9"/>
  <c r="AE35" i="9"/>
  <c r="AF36" i="9"/>
  <c r="AE36" i="9"/>
  <c r="AF37" i="9"/>
  <c r="AE37" i="9"/>
  <c r="AF38" i="9"/>
  <c r="AE38" i="9"/>
  <c r="AF39" i="9"/>
  <c r="AE39" i="9"/>
  <c r="AF40" i="9"/>
  <c r="AE40" i="9"/>
  <c r="AF41" i="9"/>
  <c r="AE41" i="9"/>
  <c r="AF42" i="9"/>
  <c r="AE42" i="9"/>
  <c r="AF43" i="9"/>
  <c r="AE43" i="9"/>
  <c r="AF44" i="9"/>
  <c r="AE44" i="9"/>
  <c r="AF45" i="9"/>
  <c r="AE45" i="9"/>
  <c r="AF46" i="9"/>
  <c r="AE46" i="9"/>
  <c r="AF47" i="9"/>
  <c r="AE47" i="9"/>
  <c r="AF48" i="9"/>
  <c r="AE48" i="9"/>
  <c r="AF49" i="9"/>
  <c r="AE49" i="9"/>
  <c r="AF50" i="9"/>
  <c r="AE50" i="9"/>
  <c r="AF51" i="9"/>
  <c r="AE51" i="9"/>
  <c r="AF52" i="9"/>
  <c r="AE52" i="9"/>
  <c r="AF53" i="9"/>
  <c r="AE53" i="9"/>
  <c r="AF54" i="9"/>
  <c r="AE54" i="9"/>
  <c r="AF55" i="9"/>
  <c r="AE55" i="9"/>
  <c r="AF56" i="9"/>
  <c r="AE56" i="9"/>
  <c r="AF57" i="9"/>
  <c r="AE57" i="9"/>
  <c r="AF58" i="9"/>
  <c r="AE58" i="9"/>
  <c r="AF59" i="9"/>
  <c r="AE59" i="9"/>
  <c r="AF60" i="9"/>
  <c r="AE60" i="9"/>
  <c r="AF61" i="9"/>
  <c r="AE61" i="9"/>
  <c r="AF62" i="9"/>
  <c r="AE62" i="9"/>
  <c r="AF63" i="9"/>
  <c r="AE63" i="9"/>
  <c r="AF64" i="9"/>
  <c r="AE64" i="9"/>
  <c r="AF65" i="9"/>
  <c r="AE65" i="9"/>
  <c r="AF66" i="9"/>
  <c r="AE66" i="9"/>
  <c r="AF67" i="9"/>
  <c r="AE67" i="9"/>
  <c r="AF68" i="9"/>
  <c r="AE68" i="9"/>
  <c r="AF69" i="9"/>
  <c r="AE69" i="9"/>
  <c r="AF70" i="9"/>
  <c r="AE70" i="9"/>
  <c r="AF71" i="9"/>
  <c r="AE71" i="9"/>
  <c r="AF72" i="9"/>
  <c r="AE72" i="9"/>
  <c r="AF73" i="9"/>
  <c r="AE73" i="9"/>
  <c r="AF74" i="9"/>
  <c r="AE74" i="9"/>
  <c r="AF75" i="9"/>
  <c r="AE75" i="9"/>
  <c r="AF76" i="9"/>
  <c r="AE76" i="9"/>
  <c r="AF77" i="9"/>
  <c r="AE77" i="9"/>
  <c r="AF78" i="9"/>
  <c r="AE78" i="9"/>
  <c r="AF79" i="9"/>
  <c r="AE79" i="9"/>
  <c r="AF80" i="9"/>
  <c r="AE80" i="9"/>
  <c r="AF81" i="9"/>
  <c r="AE81" i="9"/>
  <c r="AF82" i="9"/>
  <c r="AE82" i="9"/>
  <c r="AF83" i="9"/>
  <c r="AE83" i="9"/>
  <c r="AF84" i="9"/>
  <c r="AE84" i="9"/>
  <c r="N4" i="9"/>
  <c r="X4" i="9"/>
  <c r="W4" i="9"/>
  <c r="N5" i="9"/>
  <c r="X5" i="9"/>
  <c r="W5" i="9"/>
  <c r="N6" i="9"/>
  <c r="X6" i="9"/>
  <c r="W6" i="9"/>
  <c r="N7" i="9"/>
  <c r="X7" i="9"/>
  <c r="W7" i="9"/>
  <c r="N8" i="9"/>
  <c r="X8" i="9"/>
  <c r="W8" i="9"/>
  <c r="N9" i="9"/>
  <c r="X9" i="9"/>
  <c r="W9" i="9"/>
  <c r="N10" i="9"/>
  <c r="X10" i="9"/>
  <c r="W10" i="9"/>
  <c r="N11" i="9"/>
  <c r="X11" i="9"/>
  <c r="W11" i="9"/>
  <c r="N12" i="9"/>
  <c r="X12" i="9"/>
  <c r="W12" i="9"/>
  <c r="N13" i="9"/>
  <c r="X13" i="9"/>
  <c r="W13" i="9"/>
  <c r="N14" i="9"/>
  <c r="X14" i="9"/>
  <c r="W14" i="9"/>
  <c r="N15" i="9"/>
  <c r="X15" i="9"/>
  <c r="W15" i="9"/>
  <c r="N16" i="9"/>
  <c r="X16" i="9"/>
  <c r="W16" i="9"/>
  <c r="N17" i="9"/>
  <c r="X17" i="9"/>
  <c r="W17" i="9"/>
  <c r="N18" i="9"/>
  <c r="X18" i="9"/>
  <c r="W18" i="9"/>
  <c r="N19" i="9"/>
  <c r="X19" i="9"/>
  <c r="W19" i="9"/>
  <c r="N20" i="9"/>
  <c r="X20" i="9"/>
  <c r="W20" i="9"/>
  <c r="N21" i="9"/>
  <c r="X21" i="9"/>
  <c r="W21" i="9"/>
  <c r="N22" i="9"/>
  <c r="X22" i="9"/>
  <c r="W22" i="9"/>
  <c r="N23" i="9"/>
  <c r="X23" i="9"/>
  <c r="W23" i="9"/>
  <c r="N24" i="9"/>
  <c r="X24" i="9"/>
  <c r="W24" i="9"/>
  <c r="N25" i="9"/>
  <c r="X25" i="9"/>
  <c r="W25" i="9"/>
  <c r="N26" i="9"/>
  <c r="X26" i="9"/>
  <c r="W26" i="9"/>
  <c r="N27" i="9"/>
  <c r="X27" i="9"/>
  <c r="W27" i="9"/>
  <c r="N28" i="9"/>
  <c r="X28" i="9"/>
  <c r="W28" i="9"/>
  <c r="N29" i="9"/>
  <c r="X29" i="9"/>
  <c r="W29" i="9"/>
  <c r="N30" i="9"/>
  <c r="X30" i="9"/>
  <c r="W30" i="9"/>
  <c r="N31" i="9"/>
  <c r="X31" i="9"/>
  <c r="W31" i="9"/>
  <c r="N32" i="9"/>
  <c r="X32" i="9"/>
  <c r="W32" i="9"/>
  <c r="N33" i="9"/>
  <c r="X33" i="9"/>
  <c r="W33" i="9"/>
  <c r="N34" i="9"/>
  <c r="X34" i="9"/>
  <c r="W34" i="9"/>
  <c r="N35" i="9"/>
  <c r="X35" i="9"/>
  <c r="W35" i="9"/>
  <c r="N36" i="9"/>
  <c r="X36" i="9"/>
  <c r="W36" i="9"/>
  <c r="N37" i="9"/>
  <c r="X37" i="9"/>
  <c r="W37" i="9"/>
  <c r="N38" i="9"/>
  <c r="X38" i="9"/>
  <c r="W38" i="9"/>
  <c r="N39" i="9"/>
  <c r="X39" i="9"/>
  <c r="W39" i="9"/>
  <c r="N40" i="9"/>
  <c r="X40" i="9"/>
  <c r="W40" i="9"/>
  <c r="N41" i="9"/>
  <c r="X41" i="9"/>
  <c r="W41" i="9"/>
  <c r="N42" i="9"/>
  <c r="X42" i="9"/>
  <c r="W42" i="9"/>
  <c r="N43" i="9"/>
  <c r="X43" i="9"/>
  <c r="W43" i="9"/>
  <c r="N44" i="9"/>
  <c r="X44" i="9"/>
  <c r="W44" i="9"/>
  <c r="N45" i="9"/>
  <c r="X45" i="9"/>
  <c r="W45" i="9"/>
  <c r="N46" i="9"/>
  <c r="X46" i="9"/>
  <c r="W46" i="9"/>
  <c r="N47" i="9"/>
  <c r="X47" i="9"/>
  <c r="W47" i="9"/>
  <c r="N48" i="9"/>
  <c r="X48" i="9"/>
  <c r="W48" i="9"/>
  <c r="N49" i="9"/>
  <c r="X49" i="9"/>
  <c r="W49" i="9"/>
  <c r="N50" i="9"/>
  <c r="X50" i="9"/>
  <c r="W50" i="9"/>
  <c r="N51" i="9"/>
  <c r="X51" i="9"/>
  <c r="W51" i="9"/>
  <c r="N52" i="9"/>
  <c r="X52" i="9"/>
  <c r="W52" i="9"/>
  <c r="N53" i="9"/>
  <c r="X53" i="9"/>
  <c r="W53" i="9"/>
  <c r="N54" i="9"/>
  <c r="X54" i="9"/>
  <c r="W54" i="9"/>
  <c r="N55" i="9"/>
  <c r="X55" i="9"/>
  <c r="W55" i="9"/>
  <c r="N56" i="9"/>
  <c r="X56" i="9"/>
  <c r="W56" i="9"/>
  <c r="N57" i="9"/>
  <c r="X57" i="9"/>
  <c r="W57" i="9"/>
  <c r="N58" i="9"/>
  <c r="X58" i="9"/>
  <c r="W58" i="9"/>
  <c r="N59" i="9"/>
  <c r="X59" i="9"/>
  <c r="W59" i="9"/>
  <c r="N60" i="9"/>
  <c r="X60" i="9"/>
  <c r="W60" i="9"/>
  <c r="N61" i="9"/>
  <c r="X61" i="9"/>
  <c r="W61" i="9"/>
  <c r="N62" i="9"/>
  <c r="X62" i="9"/>
  <c r="W62" i="9"/>
  <c r="N63" i="9"/>
  <c r="X63" i="9"/>
  <c r="W63" i="9"/>
  <c r="N64" i="9"/>
  <c r="X64" i="9"/>
  <c r="W64" i="9"/>
  <c r="N65" i="9"/>
  <c r="X65" i="9"/>
  <c r="W65" i="9"/>
  <c r="N66" i="9"/>
  <c r="X66" i="9"/>
  <c r="W66" i="9"/>
  <c r="N67" i="9"/>
  <c r="X67" i="9"/>
  <c r="W67" i="9"/>
  <c r="N68" i="9"/>
  <c r="X68" i="9"/>
  <c r="W68" i="9"/>
  <c r="N69" i="9"/>
  <c r="X69" i="9"/>
  <c r="W69" i="9"/>
  <c r="N70" i="9"/>
  <c r="X70" i="9"/>
  <c r="W70" i="9"/>
  <c r="N71" i="9"/>
  <c r="X71" i="9"/>
  <c r="W71" i="9"/>
  <c r="N72" i="9"/>
  <c r="X72" i="9"/>
  <c r="W72" i="9"/>
  <c r="N73" i="9"/>
  <c r="X73" i="9"/>
  <c r="W73" i="9"/>
  <c r="N74" i="9"/>
  <c r="X74" i="9"/>
  <c r="W74" i="9"/>
  <c r="N75" i="9"/>
  <c r="X75" i="9"/>
  <c r="W75" i="9"/>
  <c r="N76" i="9"/>
  <c r="X76" i="9"/>
  <c r="W76" i="9"/>
  <c r="N77" i="9"/>
  <c r="X77" i="9"/>
  <c r="W77" i="9"/>
  <c r="N78" i="9"/>
  <c r="X78" i="9"/>
  <c r="W78" i="9"/>
  <c r="N79" i="9"/>
  <c r="X79" i="9"/>
  <c r="W79" i="9"/>
  <c r="N80" i="9"/>
  <c r="X80" i="9"/>
  <c r="W80" i="9"/>
  <c r="N81" i="9"/>
  <c r="X81" i="9"/>
  <c r="W81" i="9"/>
  <c r="N82" i="9"/>
  <c r="X82" i="9"/>
  <c r="W82" i="9"/>
  <c r="N83" i="9"/>
  <c r="X83" i="9"/>
  <c r="W83" i="9"/>
  <c r="N84" i="9"/>
  <c r="X84" i="9"/>
  <c r="W84" i="9"/>
  <c r="G8" i="5"/>
  <c r="O259" i="2"/>
  <c r="K263" i="2"/>
  <c r="I263" i="2"/>
  <c r="K267" i="2"/>
  <c r="I259" i="2"/>
  <c r="O263" i="2"/>
  <c r="K269" i="2"/>
  <c r="O267" i="2"/>
  <c r="K261" i="2"/>
  <c r="K259" i="2"/>
  <c r="O269" i="2"/>
  <c r="O265" i="2"/>
  <c r="K265" i="2"/>
  <c r="O261" i="2"/>
  <c r="O266" i="2"/>
  <c r="O264" i="2"/>
  <c r="K262" i="2"/>
  <c r="K270" i="2"/>
  <c r="I264" i="2"/>
  <c r="K258" i="2"/>
  <c r="K266" i="2"/>
  <c r="K268" i="2"/>
  <c r="O262" i="2"/>
  <c r="O260" i="2"/>
  <c r="K260" i="2"/>
  <c r="O270" i="2"/>
  <c r="O268" i="2"/>
  <c r="K264" i="2"/>
  <c r="AB162" i="2"/>
  <c r="M207" i="2"/>
  <c r="M203" i="2"/>
  <c r="M201" i="2"/>
  <c r="M211" i="2"/>
  <c r="M209" i="2"/>
  <c r="M205" i="2"/>
  <c r="M199" i="2"/>
  <c r="Y109" i="2"/>
  <c r="Y110" i="2"/>
  <c r="G9" i="5"/>
  <c r="M38" i="2"/>
  <c r="M206" i="2"/>
  <c r="M200" i="2"/>
  <c r="M204" i="2"/>
  <c r="M202" i="2"/>
  <c r="M210" i="2"/>
  <c r="M208" i="2"/>
  <c r="C5" i="5"/>
  <c r="E162" i="2"/>
  <c r="AB164" i="2"/>
  <c r="M159" i="2"/>
  <c r="Q119" i="2"/>
  <c r="K123" i="2"/>
  <c r="I40" i="5"/>
  <c r="G40" i="5" s="1"/>
  <c r="I269" i="2"/>
  <c r="M157" i="2"/>
  <c r="I28" i="5"/>
  <c r="G28" i="5" s="1"/>
  <c r="I267" i="2"/>
  <c r="M155" i="2"/>
  <c r="I129" i="2"/>
  <c r="K119" i="2"/>
  <c r="Q129" i="2"/>
  <c r="Q127" i="2"/>
  <c r="I42" i="5"/>
  <c r="Q159" i="2"/>
  <c r="Q121" i="2"/>
  <c r="O161" i="2"/>
  <c r="I26" i="5"/>
  <c r="G26" i="5" s="1"/>
  <c r="I265" i="2"/>
  <c r="U165" i="2"/>
  <c r="Q165" i="2"/>
  <c r="Q155" i="2"/>
  <c r="O159" i="2"/>
  <c r="I125" i="2"/>
  <c r="Q163" i="2"/>
  <c r="Q157" i="2"/>
  <c r="K121" i="2"/>
  <c r="U163" i="2"/>
  <c r="I123" i="2"/>
  <c r="U161" i="2"/>
  <c r="O157" i="2"/>
  <c r="I121" i="2"/>
  <c r="M161" i="2"/>
  <c r="U159" i="2"/>
  <c r="I44" i="5"/>
  <c r="D190" i="2"/>
  <c r="U157" i="2"/>
  <c r="Q161" i="2"/>
  <c r="O165" i="2"/>
  <c r="O155" i="2"/>
  <c r="M165" i="2"/>
  <c r="Q125" i="2"/>
  <c r="K129" i="2"/>
  <c r="U155" i="2"/>
  <c r="M163" i="2"/>
  <c r="B4" i="5"/>
  <c r="Q123" i="2"/>
  <c r="K127" i="2"/>
  <c r="Q80" i="2"/>
  <c r="O163" i="2"/>
  <c r="K125" i="2"/>
  <c r="I41" i="5"/>
  <c r="G41" i="5" s="1"/>
  <c r="I258" i="2"/>
  <c r="X164" i="2"/>
  <c r="U158" i="2"/>
  <c r="Q158" i="2"/>
  <c r="O162" i="2"/>
  <c r="M164" i="2"/>
  <c r="C4" i="5"/>
  <c r="Q126" i="2"/>
  <c r="K130" i="2"/>
  <c r="Q77" i="2"/>
  <c r="M75" i="2"/>
  <c r="M51" i="2"/>
  <c r="M162" i="2"/>
  <c r="I29" i="5"/>
  <c r="G29" i="5" s="1"/>
  <c r="X162" i="2"/>
  <c r="U156" i="2"/>
  <c r="X160" i="2"/>
  <c r="Q166" i="2"/>
  <c r="Q156" i="2"/>
  <c r="O160" i="2"/>
  <c r="M160" i="2"/>
  <c r="Q122" i="2"/>
  <c r="K126" i="2"/>
  <c r="Q73" i="2"/>
  <c r="M47" i="2"/>
  <c r="M83" i="2"/>
  <c r="Q49" i="2"/>
  <c r="X166" i="2"/>
  <c r="M77" i="2"/>
  <c r="Q124" i="2"/>
  <c r="Q75" i="2"/>
  <c r="X158" i="2"/>
  <c r="M158" i="2"/>
  <c r="Q120" i="2"/>
  <c r="K124" i="2"/>
  <c r="Q39" i="2"/>
  <c r="M45" i="2"/>
  <c r="I270" i="2"/>
  <c r="K120" i="2"/>
  <c r="Q43" i="2"/>
  <c r="M41" i="2"/>
  <c r="Q83" i="2"/>
  <c r="Q51" i="2"/>
  <c r="K128" i="2"/>
  <c r="M49" i="2"/>
  <c r="I41" i="2"/>
  <c r="I27" i="5"/>
  <c r="G27" i="5" s="1"/>
  <c r="X156" i="2"/>
  <c r="Q164" i="2"/>
  <c r="O158" i="2"/>
  <c r="M156" i="2"/>
  <c r="K122" i="2"/>
  <c r="Q41" i="2"/>
  <c r="M43" i="2"/>
  <c r="Q45" i="2"/>
  <c r="E331" i="2"/>
  <c r="E189" i="2"/>
  <c r="I268" i="2"/>
  <c r="U166" i="2"/>
  <c r="Q162" i="2"/>
  <c r="O166" i="2"/>
  <c r="O156" i="2"/>
  <c r="M166" i="2"/>
  <c r="I266" i="2"/>
  <c r="U164" i="2"/>
  <c r="Q81" i="2"/>
  <c r="M81" i="2"/>
  <c r="Q47" i="2"/>
  <c r="I43" i="5"/>
  <c r="G43" i="5" s="1"/>
  <c r="U162" i="2"/>
  <c r="Q160" i="2"/>
  <c r="O164" i="2"/>
  <c r="Q130" i="2"/>
  <c r="M79" i="2"/>
  <c r="I262" i="2"/>
  <c r="U160" i="2"/>
  <c r="Q128" i="2"/>
  <c r="Q79" i="2"/>
  <c r="M73" i="2"/>
  <c r="AB166" i="2"/>
  <c r="AB160" i="2"/>
  <c r="AB156" i="2"/>
  <c r="AB158" i="2"/>
  <c r="AB165" i="2"/>
  <c r="AB163" i="2"/>
  <c r="AB157" i="2"/>
  <c r="AB161" i="2"/>
  <c r="AB159" i="2"/>
  <c r="AB155" i="2"/>
  <c r="B5" i="5"/>
  <c r="J61" i="8"/>
  <c r="J33" i="8"/>
  <c r="K41" i="8"/>
  <c r="J5" i="8"/>
  <c r="K45" i="8"/>
  <c r="J63" i="8"/>
  <c r="K21" i="8"/>
  <c r="J49" i="8"/>
  <c r="K37" i="8"/>
  <c r="K61" i="8"/>
  <c r="K67" i="8"/>
  <c r="J23" i="8"/>
  <c r="J36" i="8"/>
  <c r="J20" i="8"/>
  <c r="J70" i="8"/>
  <c r="K35" i="8"/>
  <c r="J38" i="8"/>
  <c r="K7" i="8"/>
  <c r="K14" i="8"/>
  <c r="J31" i="8"/>
  <c r="J17" i="8"/>
  <c r="J41" i="8"/>
  <c r="J21" i="8"/>
  <c r="J26" i="8"/>
  <c r="J84" i="8"/>
  <c r="J18" i="8"/>
  <c r="J19" i="8"/>
  <c r="J45" i="8"/>
  <c r="J7" i="8"/>
  <c r="J12" i="8"/>
  <c r="K11" i="8"/>
  <c r="J29" i="8"/>
  <c r="J39" i="8"/>
  <c r="J50" i="8"/>
  <c r="K51" i="8"/>
  <c r="K80" i="8"/>
  <c r="K58" i="8"/>
  <c r="J78" i="8"/>
  <c r="J51" i="8"/>
  <c r="J74" i="8"/>
  <c r="K16" i="8"/>
  <c r="J25" i="8"/>
  <c r="K60" i="8"/>
  <c r="J53" i="8"/>
  <c r="K70" i="8"/>
  <c r="L41" i="8"/>
  <c r="K65" i="8"/>
  <c r="K46" i="8"/>
  <c r="K55" i="8"/>
  <c r="K83" i="8"/>
  <c r="K36" i="8"/>
  <c r="J14" i="8"/>
  <c r="K56" i="8"/>
  <c r="L23" i="8"/>
  <c r="K63" i="8"/>
  <c r="J27" i="8"/>
  <c r="K26" i="8"/>
  <c r="K48" i="8"/>
  <c r="K24" i="8"/>
  <c r="J42" i="8"/>
  <c r="J32" i="8"/>
  <c r="J28" i="8"/>
  <c r="K17" i="8"/>
  <c r="J34" i="8"/>
  <c r="J59" i="8"/>
  <c r="K76" i="8"/>
  <c r="J68" i="8"/>
  <c r="K10" i="8"/>
  <c r="K47" i="8"/>
  <c r="J71" i="8"/>
  <c r="J13" i="8"/>
  <c r="J30" i="8"/>
  <c r="K66" i="8"/>
  <c r="J9" i="8"/>
  <c r="J56" i="8"/>
  <c r="K25" i="8"/>
  <c r="K84" i="8"/>
  <c r="J44" i="8"/>
  <c r="K69" i="8"/>
  <c r="K8" i="8"/>
  <c r="K20" i="8"/>
  <c r="K57" i="8"/>
  <c r="J81" i="8"/>
  <c r="J40" i="8"/>
  <c r="J83" i="8"/>
  <c r="K75" i="8"/>
  <c r="K79" i="8"/>
  <c r="K5" i="8"/>
  <c r="K73" i="8"/>
  <c r="J48" i="8"/>
  <c r="K64" i="8"/>
  <c r="K54" i="8"/>
  <c r="K38" i="8"/>
  <c r="K30" i="8"/>
  <c r="K39" i="8"/>
  <c r="J67" i="8"/>
  <c r="K72" i="8"/>
  <c r="J35" i="8"/>
  <c r="J64" i="8"/>
  <c r="K68" i="8"/>
  <c r="K15" i="8"/>
  <c r="K40" i="8"/>
  <c r="K77" i="8"/>
  <c r="K18" i="8"/>
  <c r="J43" i="8"/>
  <c r="J60" i="8"/>
  <c r="K82" i="8"/>
  <c r="K34" i="8"/>
  <c r="J10" i="8"/>
  <c r="K42" i="8"/>
  <c r="J75" i="8"/>
  <c r="J76" i="8"/>
  <c r="K13" i="8"/>
  <c r="L33" i="8"/>
  <c r="J66" i="8"/>
  <c r="J55" i="8"/>
  <c r="K44" i="8"/>
  <c r="J46" i="8"/>
  <c r="K27" i="8"/>
  <c r="K19" i="8"/>
  <c r="K43" i="8"/>
  <c r="J58" i="8"/>
  <c r="J62" i="8"/>
  <c r="K62" i="8"/>
  <c r="J37" i="8"/>
  <c r="J79" i="8"/>
  <c r="J54" i="8"/>
  <c r="J15" i="8"/>
  <c r="J65" i="8"/>
  <c r="K28" i="8"/>
  <c r="K29" i="8"/>
  <c r="J52" i="8"/>
  <c r="K52" i="8"/>
  <c r="K31" i="8"/>
  <c r="J73" i="8"/>
  <c r="J69" i="8"/>
  <c r="J57" i="8"/>
  <c r="J47" i="8"/>
  <c r="J72" i="8"/>
  <c r="K81" i="8"/>
  <c r="K53" i="8"/>
  <c r="J82" i="8"/>
  <c r="J80" i="8"/>
  <c r="K9" i="8"/>
  <c r="K49" i="8"/>
  <c r="L45" i="8"/>
  <c r="K12" i="8"/>
  <c r="K59" i="8"/>
  <c r="K6" i="8"/>
  <c r="J6" i="8"/>
  <c r="J22" i="8"/>
  <c r="K22" i="8"/>
  <c r="J24" i="8"/>
  <c r="K74" i="8"/>
  <c r="J77" i="8"/>
  <c r="K4" i="8"/>
  <c r="J4" i="8"/>
  <c r="K50" i="8"/>
  <c r="K32" i="8"/>
  <c r="K78" i="8"/>
  <c r="K71" i="8"/>
  <c r="M42" i="2"/>
  <c r="Q82" i="2"/>
  <c r="M82" i="2"/>
  <c r="M80" i="2"/>
  <c r="Q78" i="2"/>
  <c r="Q76" i="2"/>
  <c r="Q74" i="2"/>
  <c r="Q72" i="2"/>
  <c r="M50" i="2"/>
  <c r="M78" i="2"/>
  <c r="M76" i="2"/>
  <c r="M74" i="2"/>
  <c r="M72" i="2"/>
  <c r="D24" i="2"/>
  <c r="M46" i="2"/>
  <c r="M44" i="2"/>
  <c r="D30" i="2"/>
  <c r="M40" i="2"/>
  <c r="D28" i="2"/>
  <c r="M48" i="2"/>
  <c r="D26" i="2"/>
  <c r="D27" i="2"/>
  <c r="K8" i="5"/>
  <c r="K9" i="5"/>
  <c r="H9" i="5"/>
  <c r="H8" i="5"/>
  <c r="HC84" i="8" l="1"/>
  <c r="GX84" i="8"/>
  <c r="GS84" i="8"/>
  <c r="GL84" i="8"/>
  <c r="HC83" i="8"/>
  <c r="GX83" i="8"/>
  <c r="GS83" i="8"/>
  <c r="GL83" i="8"/>
  <c r="HC82" i="8"/>
  <c r="GX82" i="8"/>
  <c r="GS82" i="8"/>
  <c r="GL82" i="8"/>
  <c r="HC81" i="8"/>
  <c r="GX81" i="8"/>
  <c r="GS81" i="8"/>
  <c r="GL81" i="8"/>
  <c r="HC80" i="8"/>
  <c r="GX80" i="8"/>
  <c r="GS80" i="8"/>
  <c r="GL80" i="8"/>
  <c r="HC79" i="8"/>
  <c r="GX79" i="8"/>
  <c r="GS79" i="8"/>
  <c r="GL79" i="8"/>
  <c r="HC78" i="8"/>
  <c r="GX78" i="8"/>
  <c r="GS78" i="8"/>
  <c r="GL78" i="8"/>
  <c r="HC77" i="8"/>
  <c r="GX77" i="8"/>
  <c r="GS77" i="8"/>
  <c r="HC76" i="8"/>
  <c r="GX76" i="8"/>
  <c r="GS76" i="8"/>
  <c r="GL76" i="8"/>
  <c r="HC75" i="8"/>
  <c r="GX75" i="8"/>
  <c r="GS75" i="8"/>
  <c r="GL75" i="8"/>
  <c r="HC74" i="8"/>
  <c r="GX74" i="8"/>
  <c r="GS74" i="8"/>
  <c r="GL74" i="8"/>
  <c r="HC73" i="8"/>
  <c r="GX73" i="8"/>
  <c r="GS73" i="8"/>
  <c r="GL73" i="8"/>
  <c r="HC72" i="8"/>
  <c r="GX72" i="8"/>
  <c r="GS72" i="8"/>
  <c r="GL72" i="8"/>
  <c r="HC71" i="8"/>
  <c r="GX71" i="8"/>
  <c r="GS71" i="8"/>
  <c r="GL71" i="8"/>
  <c r="HC70" i="8"/>
  <c r="GX70" i="8"/>
  <c r="GS70" i="8"/>
  <c r="GL70" i="8"/>
  <c r="HC69" i="8"/>
  <c r="GX69" i="8"/>
  <c r="GS69" i="8"/>
  <c r="GL69" i="8"/>
  <c r="HC68" i="8"/>
  <c r="GX68" i="8"/>
  <c r="GS68" i="8"/>
  <c r="GL68" i="8"/>
  <c r="HC67" i="8"/>
  <c r="GX67" i="8"/>
  <c r="GS67" i="8"/>
  <c r="GL67" i="8"/>
  <c r="HC66" i="8"/>
  <c r="GX66" i="8"/>
  <c r="GS66" i="8"/>
  <c r="GL66" i="8"/>
  <c r="HC65" i="8"/>
  <c r="GX65" i="8"/>
  <c r="GS65" i="8"/>
  <c r="GL65" i="8"/>
  <c r="HC64" i="8"/>
  <c r="GX64" i="8"/>
  <c r="GS64" i="8"/>
  <c r="GL64" i="8"/>
  <c r="HC63" i="8"/>
  <c r="GX63" i="8"/>
  <c r="GS63" i="8"/>
  <c r="GL63" i="8"/>
  <c r="HC62" i="8"/>
  <c r="GX62" i="8"/>
  <c r="GS62" i="8"/>
  <c r="GL62" i="8"/>
  <c r="HC61" i="8"/>
  <c r="GX61" i="8"/>
  <c r="GS61" i="8"/>
  <c r="GL61" i="8"/>
  <c r="HC60" i="8"/>
  <c r="GX60" i="8"/>
  <c r="GS60" i="8"/>
  <c r="GL60" i="8"/>
  <c r="HC59" i="8"/>
  <c r="GX59" i="8"/>
  <c r="GS59" i="8"/>
  <c r="GL59" i="8"/>
  <c r="HC58" i="8"/>
  <c r="GX58" i="8"/>
  <c r="GS58" i="8"/>
  <c r="GL58" i="8"/>
  <c r="HC57" i="8"/>
  <c r="GX57" i="8"/>
  <c r="GS57" i="8"/>
  <c r="GL57" i="8"/>
  <c r="HC56" i="8"/>
  <c r="GX56" i="8"/>
  <c r="GS56" i="8"/>
  <c r="GL56" i="8"/>
  <c r="HC55" i="8"/>
  <c r="GX55" i="8"/>
  <c r="GS55" i="8"/>
  <c r="GL55" i="8"/>
  <c r="HC54" i="8"/>
  <c r="GX54" i="8"/>
  <c r="GS54" i="8"/>
  <c r="GL54" i="8"/>
  <c r="HC53" i="8"/>
  <c r="GX53" i="8"/>
  <c r="GS53" i="8"/>
  <c r="GL53" i="8"/>
  <c r="HC52" i="8"/>
  <c r="GX52" i="8"/>
  <c r="GS52" i="8"/>
  <c r="GL52" i="8"/>
  <c r="HC51" i="8"/>
  <c r="GX51" i="8"/>
  <c r="GS51" i="8"/>
  <c r="GL51" i="8"/>
  <c r="HC50" i="8"/>
  <c r="GX50" i="8"/>
  <c r="GS50" i="8"/>
  <c r="GL50" i="8"/>
  <c r="HC49" i="8"/>
  <c r="GX49" i="8"/>
  <c r="GS49" i="8"/>
  <c r="GL49" i="8"/>
  <c r="HC48" i="8"/>
  <c r="GX48" i="8"/>
  <c r="GS48" i="8"/>
  <c r="GL48" i="8"/>
  <c r="HC47" i="8"/>
  <c r="GX47" i="8"/>
  <c r="GS47" i="8"/>
  <c r="GL47" i="8"/>
  <c r="HC46" i="8"/>
  <c r="GX46" i="8"/>
  <c r="GS46" i="8"/>
  <c r="GL46" i="8"/>
  <c r="HC45" i="8"/>
  <c r="GX45" i="8"/>
  <c r="GS45" i="8"/>
  <c r="GL45" i="8"/>
  <c r="HC44" i="8"/>
  <c r="GX44" i="8"/>
  <c r="GS44" i="8"/>
  <c r="GL44" i="8"/>
  <c r="HC43" i="8"/>
  <c r="GX43" i="8"/>
  <c r="GS43" i="8"/>
  <c r="GL43" i="8"/>
  <c r="HC42" i="8"/>
  <c r="GX42" i="8"/>
  <c r="GS42" i="8"/>
  <c r="GL42" i="8"/>
  <c r="HC41" i="8"/>
  <c r="GX41" i="8"/>
  <c r="GS41" i="8"/>
  <c r="GL41" i="8"/>
  <c r="HC40" i="8"/>
  <c r="GX40" i="8"/>
  <c r="GS40" i="8"/>
  <c r="GL40" i="8"/>
  <c r="HC39" i="8"/>
  <c r="GX39" i="8"/>
  <c r="GS39" i="8"/>
  <c r="GL39" i="8"/>
  <c r="HC38" i="8"/>
  <c r="GX38" i="8"/>
  <c r="GS38" i="8"/>
  <c r="GL38" i="8"/>
  <c r="HC37" i="8"/>
  <c r="GX37" i="8"/>
  <c r="GS37" i="8"/>
  <c r="GL37" i="8"/>
  <c r="HC36" i="8"/>
  <c r="GX36" i="8"/>
  <c r="GS36" i="8"/>
  <c r="GL36" i="8"/>
  <c r="HC35" i="8"/>
  <c r="GX35" i="8"/>
  <c r="GS35" i="8"/>
  <c r="GL35" i="8"/>
  <c r="HC34" i="8"/>
  <c r="GX34" i="8"/>
  <c r="GS34" i="8"/>
  <c r="GL34" i="8"/>
  <c r="HC33" i="8"/>
  <c r="GX33" i="8"/>
  <c r="GS33" i="8"/>
  <c r="GL33" i="8"/>
  <c r="HC32" i="8"/>
  <c r="GX32" i="8"/>
  <c r="GS32" i="8"/>
  <c r="GL32" i="8"/>
  <c r="HC31" i="8"/>
  <c r="GX31" i="8"/>
  <c r="GS31" i="8"/>
  <c r="GL31" i="8"/>
  <c r="HC30" i="8"/>
  <c r="GX30" i="8"/>
  <c r="GS30" i="8"/>
  <c r="GL30" i="8"/>
  <c r="HC29" i="8"/>
  <c r="GX29" i="8"/>
  <c r="GS29" i="8"/>
  <c r="GL29" i="8"/>
  <c r="HC28" i="8"/>
  <c r="GX28" i="8"/>
  <c r="GS28" i="8"/>
  <c r="GL28" i="8"/>
  <c r="HC27" i="8"/>
  <c r="GX27" i="8"/>
  <c r="GS27" i="8"/>
  <c r="GL27" i="8"/>
  <c r="HC26" i="8"/>
  <c r="GX26" i="8"/>
  <c r="GS26" i="8"/>
  <c r="GL26" i="8"/>
  <c r="HC25" i="8"/>
  <c r="GX25" i="8"/>
  <c r="GS25" i="8"/>
  <c r="GL25" i="8"/>
  <c r="HC24" i="8"/>
  <c r="GX24" i="8"/>
  <c r="GS24" i="8"/>
  <c r="GL24" i="8"/>
  <c r="HC23" i="8"/>
  <c r="GX23" i="8"/>
  <c r="GS23" i="8"/>
  <c r="GL23" i="8"/>
  <c r="HC22" i="8"/>
  <c r="GX22" i="8"/>
  <c r="GS22" i="8"/>
  <c r="GL22" i="8"/>
  <c r="HC21" i="8"/>
  <c r="GX21" i="8"/>
  <c r="GS21" i="8"/>
  <c r="GL21" i="8"/>
  <c r="HC20" i="8"/>
  <c r="GX20" i="8"/>
  <c r="GS20" i="8"/>
  <c r="GL20" i="8"/>
  <c r="HC19" i="8"/>
  <c r="GX19" i="8"/>
  <c r="GS19" i="8"/>
  <c r="GL19" i="8"/>
  <c r="HC18" i="8"/>
  <c r="GX18" i="8"/>
  <c r="GS18" i="8"/>
  <c r="GL18" i="8"/>
  <c r="HC17" i="8"/>
  <c r="GX17" i="8"/>
  <c r="GS17" i="8"/>
  <c r="GL17" i="8"/>
  <c r="HC16" i="8"/>
  <c r="GX16" i="8"/>
  <c r="GS16" i="8"/>
  <c r="GL16" i="8"/>
  <c r="HC15" i="8"/>
  <c r="GX15" i="8"/>
  <c r="GS15" i="8"/>
  <c r="GL15" i="8"/>
  <c r="HC14" i="8"/>
  <c r="GX14" i="8"/>
  <c r="GS14" i="8"/>
  <c r="GL14" i="8"/>
  <c r="HC13" i="8"/>
  <c r="GX13" i="8"/>
  <c r="GS13" i="8"/>
  <c r="GL13" i="8"/>
  <c r="HC12" i="8"/>
  <c r="GX12" i="8"/>
  <c r="GS12" i="8"/>
  <c r="GL12" i="8"/>
  <c r="HC11" i="8"/>
  <c r="GX11" i="8"/>
  <c r="GS11" i="8"/>
  <c r="GL11" i="8"/>
  <c r="HC10" i="8"/>
  <c r="GX10" i="8"/>
  <c r="GS10" i="8"/>
  <c r="GL10" i="8"/>
  <c r="HC9" i="8"/>
  <c r="GX9" i="8"/>
  <c r="GS9" i="8"/>
  <c r="GL9" i="8"/>
  <c r="HC8" i="8"/>
  <c r="GX8" i="8"/>
  <c r="GS8" i="8"/>
  <c r="GL8" i="8"/>
  <c r="HC7" i="8"/>
  <c r="GX7" i="8"/>
  <c r="GS7" i="8"/>
  <c r="GL7" i="8"/>
  <c r="HC5" i="8"/>
  <c r="GX5" i="8"/>
  <c r="GS5" i="8"/>
  <c r="GL5" i="8"/>
  <c r="HH4" i="8"/>
  <c r="HC4" i="8"/>
  <c r="GX4" i="8"/>
  <c r="GS4" i="8"/>
  <c r="GL4" i="8"/>
  <c r="HC6" i="8"/>
  <c r="GX6" i="8"/>
  <c r="GS6" i="8"/>
  <c r="GL6" i="8"/>
  <c r="GD84" i="8"/>
  <c r="GD83" i="8"/>
  <c r="GD82" i="8"/>
  <c r="GD81" i="8"/>
  <c r="GD80" i="8"/>
  <c r="GD79" i="8"/>
  <c r="GD78" i="8"/>
  <c r="GD77" i="8"/>
  <c r="GD76" i="8"/>
  <c r="GD75" i="8"/>
  <c r="GD74" i="8"/>
  <c r="GD73" i="8"/>
  <c r="GD72" i="8"/>
  <c r="GD71" i="8"/>
  <c r="GD70" i="8"/>
  <c r="GD69" i="8"/>
  <c r="GD68" i="8"/>
  <c r="GD67" i="8"/>
  <c r="GD66" i="8"/>
  <c r="GD65" i="8"/>
  <c r="GD64" i="8"/>
  <c r="GD63" i="8"/>
  <c r="GD62" i="8"/>
  <c r="GD61" i="8"/>
  <c r="GD60" i="8"/>
  <c r="GD59" i="8"/>
  <c r="GD58" i="8"/>
  <c r="GD57" i="8"/>
  <c r="GD56" i="8"/>
  <c r="GD55" i="8"/>
  <c r="GD54" i="8"/>
  <c r="GD53" i="8"/>
  <c r="GD52" i="8"/>
  <c r="GD51" i="8"/>
  <c r="GD50" i="8"/>
  <c r="GD49" i="8"/>
  <c r="GD48" i="8"/>
  <c r="GD47" i="8"/>
  <c r="GD46" i="8"/>
  <c r="GD45" i="8"/>
  <c r="GD44" i="8"/>
  <c r="GD43" i="8"/>
  <c r="GD42" i="8"/>
  <c r="GD41" i="8"/>
  <c r="GD40" i="8"/>
  <c r="GD39" i="8"/>
  <c r="GD38" i="8"/>
  <c r="GD37" i="8"/>
  <c r="GD36" i="8"/>
  <c r="GD35" i="8"/>
  <c r="GD34" i="8"/>
  <c r="GD33" i="8"/>
  <c r="GD32" i="8"/>
  <c r="GD31" i="8"/>
  <c r="GD30" i="8"/>
  <c r="GD29" i="8"/>
  <c r="GD28" i="8"/>
  <c r="GD27" i="8"/>
  <c r="GD26" i="8"/>
  <c r="GD25" i="8"/>
  <c r="GD24" i="8"/>
  <c r="GD23" i="8"/>
  <c r="GD22" i="8"/>
  <c r="GD21" i="8"/>
  <c r="GD20" i="8"/>
  <c r="GD19" i="8"/>
  <c r="GD18" i="8"/>
  <c r="GD17" i="8"/>
  <c r="GD16" i="8"/>
  <c r="GD15" i="8"/>
  <c r="GD14" i="8"/>
  <c r="GD13" i="8"/>
  <c r="GD12" i="8"/>
  <c r="GD11" i="8"/>
  <c r="GD10" i="8"/>
  <c r="GD9" i="8"/>
  <c r="GD8" i="8"/>
  <c r="GD7" i="8"/>
  <c r="GD5" i="8"/>
  <c r="GD4" i="8"/>
  <c r="FV84" i="8"/>
  <c r="FV83" i="8"/>
  <c r="FV82" i="8"/>
  <c r="FV81" i="8"/>
  <c r="FV80" i="8"/>
  <c r="FV79" i="8"/>
  <c r="FV78" i="8"/>
  <c r="FV77" i="8"/>
  <c r="FV76" i="8"/>
  <c r="FV75" i="8"/>
  <c r="FV74" i="8"/>
  <c r="FV73" i="8"/>
  <c r="FV72" i="8"/>
  <c r="FV71" i="8"/>
  <c r="FV70" i="8"/>
  <c r="FV69" i="8"/>
  <c r="FV68" i="8"/>
  <c r="FV67" i="8"/>
  <c r="FV66" i="8"/>
  <c r="FV65" i="8"/>
  <c r="FV64" i="8"/>
  <c r="FV63" i="8"/>
  <c r="FV62" i="8"/>
  <c r="FV61" i="8"/>
  <c r="FV60" i="8"/>
  <c r="FV59" i="8"/>
  <c r="FV58" i="8"/>
  <c r="FV57" i="8"/>
  <c r="FV56" i="8"/>
  <c r="FV55" i="8"/>
  <c r="FV54" i="8"/>
  <c r="FV53" i="8"/>
  <c r="FV52" i="8"/>
  <c r="FV51" i="8"/>
  <c r="FV50" i="8"/>
  <c r="FV49" i="8"/>
  <c r="FV48" i="8"/>
  <c r="FV47" i="8"/>
  <c r="FV46" i="8"/>
  <c r="FV45" i="8"/>
  <c r="FV44" i="8"/>
  <c r="FV43" i="8"/>
  <c r="FV42" i="8"/>
  <c r="FV41" i="8"/>
  <c r="FV40" i="8"/>
  <c r="FV39" i="8"/>
  <c r="FV38" i="8"/>
  <c r="FV37" i="8"/>
  <c r="FV36" i="8"/>
  <c r="FV35" i="8"/>
  <c r="FV34" i="8"/>
  <c r="FV33" i="8"/>
  <c r="FV32" i="8"/>
  <c r="FV31" i="8"/>
  <c r="FV30" i="8"/>
  <c r="FV29" i="8"/>
  <c r="FV28" i="8"/>
  <c r="FV27" i="8"/>
  <c r="FV26" i="8"/>
  <c r="FV25" i="8"/>
  <c r="FV24" i="8"/>
  <c r="FV23" i="8"/>
  <c r="FV22" i="8"/>
  <c r="FV21" i="8"/>
  <c r="FV20" i="8"/>
  <c r="FV19" i="8"/>
  <c r="FV18" i="8"/>
  <c r="FV17" i="8"/>
  <c r="FV16" i="8"/>
  <c r="FV15" i="8"/>
  <c r="FV14" i="8"/>
  <c r="FV13" i="8"/>
  <c r="FV12" i="8"/>
  <c r="FV11" i="8"/>
  <c r="FV10" i="8"/>
  <c r="FV9" i="8"/>
  <c r="FV8" i="8"/>
  <c r="FV7" i="8"/>
  <c r="FV6" i="8"/>
  <c r="FV5" i="8"/>
  <c r="GD6" i="8"/>
  <c r="GE84" i="9"/>
  <c r="GE83" i="9"/>
  <c r="GE82" i="9"/>
  <c r="GE81" i="9"/>
  <c r="GE80" i="9"/>
  <c r="GE79" i="9"/>
  <c r="GE78" i="9"/>
  <c r="GE77" i="9"/>
  <c r="GE76" i="9"/>
  <c r="GE75" i="9"/>
  <c r="GE74" i="9"/>
  <c r="GE73" i="9"/>
  <c r="GE72" i="9"/>
  <c r="GE71" i="9"/>
  <c r="GE70" i="9"/>
  <c r="GE69" i="9"/>
  <c r="GE68" i="9"/>
  <c r="GE67" i="9"/>
  <c r="GE66" i="9"/>
  <c r="GE65" i="9"/>
  <c r="GE64" i="9"/>
  <c r="GE63" i="9"/>
  <c r="GE62" i="9"/>
  <c r="GE61" i="9"/>
  <c r="GE60" i="9"/>
  <c r="GE59" i="9"/>
  <c r="GE58" i="9"/>
  <c r="GE57" i="9"/>
  <c r="GE56" i="9"/>
  <c r="GE55" i="9"/>
  <c r="GE54" i="9"/>
  <c r="GE53" i="9"/>
  <c r="GE52" i="9"/>
  <c r="GE51" i="9"/>
  <c r="GE50" i="9"/>
  <c r="GE49" i="9"/>
  <c r="GE48" i="9"/>
  <c r="GE47" i="9"/>
  <c r="GE46" i="9"/>
  <c r="GE45" i="9"/>
  <c r="GE44" i="9"/>
  <c r="GE43" i="9"/>
  <c r="GE42" i="9"/>
  <c r="GE41" i="9"/>
  <c r="GE40" i="9"/>
  <c r="GE39" i="9"/>
  <c r="GE38" i="9"/>
  <c r="GE37" i="9"/>
  <c r="GE36" i="9"/>
  <c r="GE35" i="9"/>
  <c r="GE34" i="9"/>
  <c r="GE33" i="9"/>
  <c r="GE32" i="9"/>
  <c r="GE31" i="9"/>
  <c r="GE30" i="9"/>
  <c r="GE29" i="9"/>
  <c r="GE28" i="9"/>
  <c r="GE27" i="9"/>
  <c r="GE26" i="9"/>
  <c r="GE25" i="9"/>
  <c r="GE24" i="9"/>
  <c r="GE23" i="9"/>
  <c r="GE22" i="9"/>
  <c r="GE21" i="9"/>
  <c r="GE20" i="9"/>
  <c r="GE19" i="9"/>
  <c r="GE18" i="9"/>
  <c r="GE17" i="9"/>
  <c r="GE16" i="9"/>
  <c r="GE15" i="9"/>
  <c r="GE14" i="9"/>
  <c r="GE13" i="9"/>
  <c r="GE12" i="9"/>
  <c r="GE11" i="9"/>
  <c r="GE10" i="9"/>
  <c r="GE9" i="9"/>
  <c r="GE8" i="9"/>
  <c r="GE7" i="9"/>
  <c r="GE6" i="9"/>
  <c r="GE5" i="9"/>
  <c r="GE4" i="9"/>
  <c r="FO84" i="9"/>
  <c r="FO83" i="9"/>
  <c r="FO82" i="9"/>
  <c r="FO81" i="9"/>
  <c r="FO80" i="9"/>
  <c r="FO79" i="9"/>
  <c r="FO78" i="9"/>
  <c r="FO77" i="9"/>
  <c r="FO76" i="9"/>
  <c r="FO75" i="9"/>
  <c r="FO74" i="9"/>
  <c r="FO73" i="9"/>
  <c r="FO72" i="9"/>
  <c r="FO71" i="9"/>
  <c r="FO70" i="9"/>
  <c r="FO69" i="9"/>
  <c r="FO68" i="9"/>
  <c r="FO67" i="9"/>
  <c r="FO66" i="9"/>
  <c r="FO65" i="9"/>
  <c r="FO64" i="9"/>
  <c r="FO63" i="9"/>
  <c r="FO62" i="9"/>
  <c r="FO61" i="9"/>
  <c r="FO60" i="9"/>
  <c r="FO59" i="9"/>
  <c r="FO58" i="9"/>
  <c r="FO57" i="9"/>
  <c r="FO56" i="9"/>
  <c r="FO55" i="9"/>
  <c r="FO54" i="9"/>
  <c r="FO53" i="9"/>
  <c r="FO52" i="9"/>
  <c r="FO51" i="9"/>
  <c r="FO50" i="9"/>
  <c r="FO49" i="9"/>
  <c r="FO48" i="9"/>
  <c r="FO47" i="9"/>
  <c r="FO46" i="9"/>
  <c r="FO45" i="9"/>
  <c r="FO44" i="9"/>
  <c r="FO43" i="9"/>
  <c r="FO42" i="9"/>
  <c r="FO41" i="9"/>
  <c r="FO40" i="9"/>
  <c r="FO39" i="9"/>
  <c r="FO38" i="9"/>
  <c r="FO37" i="9"/>
  <c r="FO36" i="9"/>
  <c r="FO35" i="9"/>
  <c r="FO34" i="9"/>
  <c r="FO33" i="9"/>
  <c r="FO32" i="9"/>
  <c r="FO31" i="9"/>
  <c r="FO30" i="9"/>
  <c r="FO29" i="9"/>
  <c r="FO28" i="9"/>
  <c r="FO27" i="9"/>
  <c r="FO26" i="9"/>
  <c r="FO25" i="9"/>
  <c r="FO24" i="9"/>
  <c r="FO23" i="9"/>
  <c r="FO22" i="9"/>
  <c r="FO21" i="9"/>
  <c r="FO20" i="9"/>
  <c r="FO19" i="9"/>
  <c r="FO18" i="9"/>
  <c r="FO17" i="9"/>
  <c r="FO16" i="9"/>
  <c r="FO15" i="9"/>
  <c r="FO14" i="9"/>
  <c r="FO13" i="9"/>
  <c r="FO12" i="9"/>
  <c r="FO11" i="9"/>
  <c r="FO10" i="9"/>
  <c r="FO9" i="9"/>
  <c r="FO8" i="9"/>
  <c r="FO7" i="9"/>
  <c r="FO6" i="9"/>
  <c r="FO5" i="9"/>
  <c r="FO4" i="9"/>
  <c r="FC84" i="8"/>
  <c r="EX84" i="8"/>
  <c r="FC83" i="8"/>
  <c r="EX83" i="8"/>
  <c r="FC82" i="8"/>
  <c r="EX82" i="8"/>
  <c r="FC81" i="8"/>
  <c r="EX81" i="8"/>
  <c r="FC80" i="8"/>
  <c r="EX80" i="8"/>
  <c r="FC79" i="8"/>
  <c r="EX79" i="8"/>
  <c r="FC78" i="8"/>
  <c r="EX78" i="8"/>
  <c r="FC77" i="8"/>
  <c r="EX77" i="8"/>
  <c r="FC76" i="8"/>
  <c r="EX76" i="8"/>
  <c r="FC75" i="8"/>
  <c r="EX75" i="8"/>
  <c r="FC74" i="8"/>
  <c r="EX74" i="8"/>
  <c r="FC73" i="8"/>
  <c r="EX73" i="8"/>
  <c r="FC72" i="8"/>
  <c r="EX72" i="8"/>
  <c r="FC71" i="8"/>
  <c r="EX71" i="8"/>
  <c r="FC70" i="8"/>
  <c r="EX70" i="8"/>
  <c r="FC69" i="8"/>
  <c r="EX69" i="8"/>
  <c r="FC68" i="8"/>
  <c r="EX68" i="8"/>
  <c r="FC67" i="8"/>
  <c r="EX67" i="8"/>
  <c r="FC66" i="8"/>
  <c r="EX66" i="8"/>
  <c r="FC65" i="8"/>
  <c r="EX65" i="8"/>
  <c r="FC64" i="8"/>
  <c r="EX64" i="8"/>
  <c r="FC63" i="8"/>
  <c r="EX63" i="8"/>
  <c r="FC62" i="8"/>
  <c r="EX62" i="8"/>
  <c r="FC61" i="8"/>
  <c r="EX61" i="8"/>
  <c r="FC60" i="8"/>
  <c r="EX60" i="8"/>
  <c r="FC59" i="8"/>
  <c r="EX59" i="8"/>
  <c r="FC58" i="8"/>
  <c r="EX58" i="8"/>
  <c r="FC57" i="8"/>
  <c r="EX57" i="8"/>
  <c r="FC56" i="8"/>
  <c r="EX56" i="8"/>
  <c r="FC55" i="8"/>
  <c r="EX55" i="8"/>
  <c r="FC54" i="8"/>
  <c r="EX54" i="8"/>
  <c r="FC53" i="8"/>
  <c r="EX53" i="8"/>
  <c r="FC52" i="8"/>
  <c r="EX52" i="8"/>
  <c r="FC51" i="8"/>
  <c r="EX51" i="8"/>
  <c r="FC50" i="8"/>
  <c r="EX50" i="8"/>
  <c r="FC49" i="8"/>
  <c r="EX49" i="8"/>
  <c r="FC48" i="8"/>
  <c r="EX48" i="8"/>
  <c r="FC47" i="8"/>
  <c r="EX47" i="8"/>
  <c r="FC46" i="8"/>
  <c r="EX46" i="8"/>
  <c r="FC45" i="8"/>
  <c r="EX45" i="8"/>
  <c r="FC44" i="8"/>
  <c r="EX44" i="8"/>
  <c r="FC43" i="8"/>
  <c r="EX43" i="8"/>
  <c r="FC42" i="8"/>
  <c r="EX42" i="8"/>
  <c r="FC41" i="8"/>
  <c r="EX41" i="8"/>
  <c r="FC40" i="8"/>
  <c r="EX40" i="8"/>
  <c r="FC39" i="8"/>
  <c r="EX39" i="8"/>
  <c r="FC38" i="8"/>
  <c r="EX38" i="8"/>
  <c r="FC37" i="8"/>
  <c r="EX37" i="8"/>
  <c r="FC36" i="8"/>
  <c r="EX36" i="8"/>
  <c r="FC35" i="8"/>
  <c r="EX35" i="8"/>
  <c r="FC34" i="8"/>
  <c r="EX34" i="8"/>
  <c r="FC33" i="8"/>
  <c r="EX33" i="8"/>
  <c r="FC32" i="8"/>
  <c r="EX32" i="8"/>
  <c r="FC31" i="8"/>
  <c r="EX31" i="8"/>
  <c r="FC30" i="8"/>
  <c r="EX30" i="8"/>
  <c r="FC29" i="8"/>
  <c r="EX29" i="8"/>
  <c r="FC28" i="8"/>
  <c r="EX28" i="8"/>
  <c r="FC27" i="8"/>
  <c r="EX27" i="8"/>
  <c r="FC26" i="8"/>
  <c r="EX26" i="8"/>
  <c r="FC25" i="8"/>
  <c r="EX25" i="8"/>
  <c r="FC24" i="8"/>
  <c r="EX24" i="8"/>
  <c r="FC23" i="8"/>
  <c r="EX23" i="8"/>
  <c r="FC22" i="8"/>
  <c r="EX22" i="8"/>
  <c r="FC21" i="8"/>
  <c r="EX21" i="8"/>
  <c r="FC20" i="8"/>
  <c r="EX20" i="8"/>
  <c r="FC19" i="8"/>
  <c r="EX19" i="8"/>
  <c r="FC18" i="8"/>
  <c r="EX18" i="8"/>
  <c r="FC17" i="8"/>
  <c r="EX17" i="8"/>
  <c r="FC16" i="8"/>
  <c r="EX16" i="8"/>
  <c r="FC15" i="8"/>
  <c r="EX15" i="8"/>
  <c r="FC14" i="8"/>
  <c r="EX14" i="8"/>
  <c r="FC13" i="8"/>
  <c r="EX13" i="8"/>
  <c r="FC12" i="8"/>
  <c r="EX12" i="8"/>
  <c r="FC11" i="8"/>
  <c r="EX11" i="8"/>
  <c r="FC10" i="8"/>
  <c r="EX10" i="8"/>
  <c r="FC9" i="8"/>
  <c r="EX9" i="8"/>
  <c r="FC8" i="8"/>
  <c r="EX8" i="8"/>
  <c r="FC7" i="8"/>
  <c r="EX7" i="8"/>
  <c r="FC5" i="8"/>
  <c r="EX5" i="8"/>
  <c r="FC4" i="8"/>
  <c r="EX4" i="8"/>
  <c r="FC6" i="8"/>
  <c r="EX6" i="8"/>
  <c r="FL84" i="8"/>
  <c r="FK84" i="8"/>
  <c r="FL83" i="8"/>
  <c r="FK83" i="8"/>
  <c r="FL82" i="8"/>
  <c r="FK82" i="8"/>
  <c r="FL81" i="8"/>
  <c r="FK81" i="8"/>
  <c r="FL80" i="8"/>
  <c r="FK80" i="8"/>
  <c r="FL79" i="8"/>
  <c r="FK79" i="8"/>
  <c r="FL78" i="8"/>
  <c r="FK78" i="8"/>
  <c r="FL77" i="8"/>
  <c r="FK77" i="8"/>
  <c r="FL76" i="8"/>
  <c r="FK76" i="8"/>
  <c r="FL75" i="8"/>
  <c r="FK75" i="8"/>
  <c r="FL74" i="8"/>
  <c r="FK74" i="8"/>
  <c r="FL73" i="8"/>
  <c r="FK73" i="8"/>
  <c r="FL72" i="8"/>
  <c r="FK72" i="8"/>
  <c r="FL71" i="8"/>
  <c r="FK71" i="8"/>
  <c r="FL70" i="8"/>
  <c r="FK70" i="8"/>
  <c r="FL69" i="8"/>
  <c r="FK69" i="8"/>
  <c r="FL68" i="8"/>
  <c r="FK68" i="8"/>
  <c r="FL67" i="8"/>
  <c r="FK67" i="8"/>
  <c r="FL66" i="8"/>
  <c r="FK66" i="8"/>
  <c r="FL65" i="8"/>
  <c r="FK65" i="8"/>
  <c r="FL64" i="8"/>
  <c r="FK64" i="8"/>
  <c r="FL63" i="8"/>
  <c r="FK63" i="8"/>
  <c r="FL62" i="8"/>
  <c r="FK62" i="8"/>
  <c r="FL61" i="8"/>
  <c r="FK61" i="8"/>
  <c r="FL60" i="8"/>
  <c r="FK60" i="8"/>
  <c r="FL59" i="8"/>
  <c r="FK59" i="8"/>
  <c r="FL58" i="8"/>
  <c r="FK58" i="8"/>
  <c r="FL57" i="8"/>
  <c r="FK57" i="8"/>
  <c r="FL56" i="8"/>
  <c r="FK56" i="8"/>
  <c r="FL55" i="8"/>
  <c r="FK55" i="8"/>
  <c r="FL54" i="8"/>
  <c r="FK54" i="8"/>
  <c r="FL53" i="8"/>
  <c r="FK53" i="8"/>
  <c r="FL52" i="8"/>
  <c r="FK52" i="8"/>
  <c r="FL51" i="8"/>
  <c r="FK51" i="8"/>
  <c r="FL50" i="8"/>
  <c r="FK50" i="8"/>
  <c r="FL49" i="8"/>
  <c r="FK49" i="8"/>
  <c r="FL48" i="8"/>
  <c r="FK48" i="8"/>
  <c r="FL47" i="8"/>
  <c r="FK47" i="8"/>
  <c r="FL46" i="8"/>
  <c r="FK46" i="8"/>
  <c r="FL45" i="8"/>
  <c r="FK45" i="8"/>
  <c r="FL44" i="8"/>
  <c r="FK44" i="8"/>
  <c r="FL43" i="8"/>
  <c r="FK43" i="8"/>
  <c r="FL42" i="8"/>
  <c r="FK42" i="8"/>
  <c r="FL41" i="8"/>
  <c r="FK41" i="8"/>
  <c r="FL40" i="8"/>
  <c r="FK40" i="8"/>
  <c r="FL39" i="8"/>
  <c r="FK39" i="8"/>
  <c r="FL38" i="8"/>
  <c r="FK38" i="8"/>
  <c r="FL37" i="8"/>
  <c r="FK37" i="8"/>
  <c r="FL36" i="8"/>
  <c r="FK36" i="8"/>
  <c r="FL35" i="8"/>
  <c r="FK35" i="8"/>
  <c r="FL34" i="8"/>
  <c r="FK34" i="8"/>
  <c r="FL33" i="8"/>
  <c r="FK33" i="8"/>
  <c r="FL32" i="8"/>
  <c r="FK32" i="8"/>
  <c r="FL31" i="8"/>
  <c r="FK31" i="8"/>
  <c r="FL30" i="8"/>
  <c r="FK30" i="8"/>
  <c r="FL29" i="8"/>
  <c r="FK29" i="8"/>
  <c r="FL28" i="8"/>
  <c r="FK28" i="8"/>
  <c r="FL27" i="8"/>
  <c r="FK27" i="8"/>
  <c r="FL26" i="8"/>
  <c r="FK26" i="8"/>
  <c r="FL25" i="8"/>
  <c r="FK25" i="8"/>
  <c r="FL24" i="8"/>
  <c r="FK24" i="8"/>
  <c r="FL23" i="8"/>
  <c r="FK23" i="8"/>
  <c r="FL22" i="8"/>
  <c r="FK22" i="8"/>
  <c r="FL21" i="8"/>
  <c r="FK21" i="8"/>
  <c r="FL20" i="8"/>
  <c r="FK20" i="8"/>
  <c r="FL19" i="8"/>
  <c r="FK19" i="8"/>
  <c r="FL18" i="8"/>
  <c r="FK18" i="8"/>
  <c r="FL17" i="8"/>
  <c r="FK17" i="8"/>
  <c r="FL16" i="8"/>
  <c r="FK16" i="8"/>
  <c r="FL15" i="8"/>
  <c r="FK15" i="8"/>
  <c r="FL14" i="8"/>
  <c r="FK14" i="8"/>
  <c r="FL13" i="8"/>
  <c r="FK13" i="8"/>
  <c r="FL12" i="8"/>
  <c r="FK12" i="8"/>
  <c r="FL11" i="8"/>
  <c r="FK11" i="8"/>
  <c r="FL10" i="8"/>
  <c r="FK10" i="8"/>
  <c r="FL9" i="8"/>
  <c r="FK9" i="8"/>
  <c r="FL8" i="8"/>
  <c r="FK8" i="8"/>
  <c r="FL7" i="8"/>
  <c r="FK7" i="8"/>
  <c r="FL5" i="8"/>
  <c r="FK5" i="8"/>
  <c r="FM4" i="8"/>
  <c r="FL6" i="8"/>
  <c r="FK6" i="8"/>
  <c r="K198" i="2"/>
  <c r="U198" i="2"/>
  <c r="S70" i="2"/>
  <c r="K70" i="2"/>
  <c r="E70" i="2"/>
  <c r="I198" i="2"/>
  <c r="S153" i="2"/>
  <c r="E153" i="2"/>
  <c r="M120" i="2"/>
  <c r="M118" i="2"/>
  <c r="I118" i="2"/>
  <c r="K38" i="2"/>
  <c r="U199" i="2"/>
  <c r="S71" i="2"/>
  <c r="K71" i="2"/>
  <c r="I71" i="2"/>
  <c r="E71" i="2"/>
  <c r="I39" i="2"/>
  <c r="E39" i="2"/>
  <c r="O199" i="2"/>
  <c r="I199" i="2"/>
  <c r="S154" i="2"/>
  <c r="I154" i="2"/>
  <c r="E154" i="2"/>
  <c r="K39" i="2"/>
  <c r="L74" i="8"/>
  <c r="L49" i="8"/>
  <c r="L9" i="8"/>
  <c r="L82" i="8"/>
  <c r="L69" i="8"/>
  <c r="L29" i="8"/>
  <c r="L79" i="8"/>
  <c r="L58" i="8"/>
  <c r="L44" i="8"/>
  <c r="L10" i="8"/>
  <c r="L39" i="8"/>
  <c r="L30" i="8"/>
  <c r="L5" i="8"/>
  <c r="L8" i="8"/>
  <c r="L17" i="8"/>
  <c r="L63" i="8"/>
  <c r="L70" i="8"/>
  <c r="L16" i="8"/>
  <c r="L11" i="8"/>
  <c r="L61" i="8"/>
  <c r="EH84" i="8"/>
  <c r="EH83" i="8"/>
  <c r="EH82" i="8"/>
  <c r="EH81" i="8"/>
  <c r="EH80" i="8"/>
  <c r="EH79" i="8"/>
  <c r="EH78" i="8"/>
  <c r="EH77" i="8"/>
  <c r="EH76" i="8"/>
  <c r="EH75" i="8"/>
  <c r="EH74" i="8"/>
  <c r="EH73" i="8"/>
  <c r="EH72" i="8"/>
  <c r="EH71" i="8"/>
  <c r="EH70" i="8"/>
  <c r="EH69" i="8"/>
  <c r="EH68" i="8"/>
  <c r="EH67" i="8"/>
  <c r="EH66" i="8"/>
  <c r="EH65" i="8"/>
  <c r="EH64" i="8"/>
  <c r="EH63" i="8"/>
  <c r="EH62" i="8"/>
  <c r="EH61" i="8"/>
  <c r="EH60" i="8"/>
  <c r="EH59" i="8"/>
  <c r="EH58" i="8"/>
  <c r="EH57" i="8"/>
  <c r="EH56" i="8"/>
  <c r="EH55" i="8"/>
  <c r="EH54" i="8"/>
  <c r="EH53" i="8"/>
  <c r="EH52" i="8"/>
  <c r="EH51" i="8"/>
  <c r="EH50" i="8"/>
  <c r="EH49" i="8"/>
  <c r="EH48" i="8"/>
  <c r="EH47" i="8"/>
  <c r="EH46" i="8"/>
  <c r="EH45" i="8"/>
  <c r="EH44" i="8"/>
  <c r="EH43" i="8"/>
  <c r="EH42" i="8"/>
  <c r="EH41" i="8"/>
  <c r="EH40" i="8"/>
  <c r="EH39" i="8"/>
  <c r="EH38" i="8"/>
  <c r="EH37" i="8"/>
  <c r="EH36" i="8"/>
  <c r="EH35" i="8"/>
  <c r="EH34" i="8"/>
  <c r="EH33" i="8"/>
  <c r="EH32" i="8"/>
  <c r="EH31" i="8"/>
  <c r="EH30" i="8"/>
  <c r="EH29" i="8"/>
  <c r="EH28" i="8"/>
  <c r="EH27" i="8"/>
  <c r="EH26" i="8"/>
  <c r="EH25" i="8"/>
  <c r="EH24" i="8"/>
  <c r="EH23" i="8"/>
  <c r="EH22" i="8"/>
  <c r="EH21" i="8"/>
  <c r="EH20" i="8"/>
  <c r="EH19" i="8"/>
  <c r="EH18" i="8"/>
  <c r="EH17" i="8"/>
  <c r="EH16" i="8"/>
  <c r="EH15" i="8"/>
  <c r="EH14" i="8"/>
  <c r="EH13" i="8"/>
  <c r="EH12" i="8"/>
  <c r="EH11" i="8"/>
  <c r="EH10" i="8"/>
  <c r="EH9" i="8"/>
  <c r="EH8" i="8"/>
  <c r="EH7" i="8"/>
  <c r="EH5" i="8"/>
  <c r="EH4" i="8"/>
  <c r="EH6" i="8"/>
  <c r="CT26" i="8"/>
  <c r="CT25" i="8"/>
  <c r="CT24" i="8"/>
  <c r="CT23" i="8"/>
  <c r="CT22" i="8"/>
  <c r="CT21" i="8"/>
  <c r="CT20" i="8"/>
  <c r="CT19" i="8"/>
  <c r="CT18" i="8"/>
  <c r="CT17" i="8"/>
  <c r="CT16" i="8"/>
  <c r="CT15" i="8"/>
  <c r="CT14" i="8"/>
  <c r="CT13" i="8"/>
  <c r="CT12" i="8"/>
  <c r="CT11" i="8"/>
  <c r="CT10" i="8"/>
  <c r="CT9" i="8"/>
  <c r="CT8" i="8"/>
  <c r="CT7" i="8"/>
  <c r="CT5" i="8"/>
  <c r="DF4" i="8"/>
  <c r="CT4" i="8"/>
  <c r="DM4" i="8"/>
  <c r="DM29" i="8"/>
  <c r="DM24" i="8"/>
  <c r="CT6" i="8"/>
  <c r="DX4" i="8"/>
  <c r="DW4" i="8"/>
  <c r="CS61" i="8"/>
  <c r="CR61" i="8"/>
  <c r="DX61" i="8"/>
  <c r="DW61" i="8"/>
  <c r="CS41" i="8"/>
  <c r="CR41" i="8"/>
  <c r="DX41" i="8"/>
  <c r="DW41" i="8"/>
  <c r="CS31" i="8"/>
  <c r="CR31" i="8"/>
  <c r="DX31" i="8"/>
  <c r="DW31" i="8"/>
  <c r="DX21" i="8"/>
  <c r="DW21" i="8"/>
  <c r="DX11" i="8"/>
  <c r="DW11" i="8"/>
  <c r="CS35" i="8"/>
  <c r="CR35" i="8"/>
  <c r="DX35" i="8"/>
  <c r="DW35" i="8"/>
  <c r="CS71" i="8"/>
  <c r="CR71" i="8"/>
  <c r="DX71" i="8"/>
  <c r="DW71" i="8"/>
  <c r="CS60" i="8"/>
  <c r="CR60" i="8"/>
  <c r="DX60" i="8"/>
  <c r="DW60" i="8"/>
  <c r="CS40" i="8"/>
  <c r="CR40" i="8"/>
  <c r="DX40" i="8"/>
  <c r="DW40" i="8"/>
  <c r="CS30" i="8"/>
  <c r="CR30" i="8"/>
  <c r="DX30" i="8"/>
  <c r="DW30" i="8"/>
  <c r="DX20" i="8"/>
  <c r="DW20" i="8"/>
  <c r="DX10" i="8"/>
  <c r="DW10" i="8"/>
  <c r="CS49" i="8"/>
  <c r="CR49" i="8"/>
  <c r="DX49" i="8"/>
  <c r="DW49" i="8"/>
  <c r="CS79" i="8"/>
  <c r="CR79" i="8"/>
  <c r="DX79" i="8"/>
  <c r="DW79" i="8"/>
  <c r="CS39" i="8"/>
  <c r="CR39" i="8"/>
  <c r="DX39" i="8"/>
  <c r="DW39" i="8"/>
  <c r="CS80" i="8"/>
  <c r="CR80" i="8"/>
  <c r="DX80" i="8"/>
  <c r="DW80" i="8"/>
  <c r="CS59" i="8"/>
  <c r="CR59" i="8"/>
  <c r="DX59" i="8"/>
  <c r="DW59" i="8"/>
  <c r="DX19" i="8"/>
  <c r="DW19" i="8"/>
  <c r="CS70" i="8"/>
  <c r="CR70" i="8"/>
  <c r="DX70" i="8"/>
  <c r="DW70" i="8"/>
  <c r="CS69" i="8"/>
  <c r="CR69" i="8"/>
  <c r="DX69" i="8"/>
  <c r="DW69" i="8"/>
  <c r="CS29" i="8"/>
  <c r="CR29" i="8"/>
  <c r="DX29" i="8"/>
  <c r="DW29" i="8"/>
  <c r="CS78" i="8"/>
  <c r="CR78" i="8"/>
  <c r="DX78" i="8"/>
  <c r="DW78" i="8"/>
  <c r="CS58" i="8"/>
  <c r="CR58" i="8"/>
  <c r="DX58" i="8"/>
  <c r="DW58" i="8"/>
  <c r="CS38" i="8"/>
  <c r="CR38" i="8"/>
  <c r="DX38" i="8"/>
  <c r="DW38" i="8"/>
  <c r="CS83" i="8"/>
  <c r="CR83" i="8"/>
  <c r="DX83" i="8"/>
  <c r="DW83" i="8"/>
  <c r="CS73" i="8"/>
  <c r="CR73" i="8"/>
  <c r="DX73" i="8"/>
  <c r="DW73" i="8"/>
  <c r="CS63" i="8"/>
  <c r="CR63" i="8"/>
  <c r="DX63" i="8"/>
  <c r="DW63" i="8"/>
  <c r="CS53" i="8"/>
  <c r="CR53" i="8"/>
  <c r="DX53" i="8"/>
  <c r="DW53" i="8"/>
  <c r="CS43" i="8"/>
  <c r="CR43" i="8"/>
  <c r="DX43" i="8"/>
  <c r="DW43" i="8"/>
  <c r="CS33" i="8"/>
  <c r="CR33" i="8"/>
  <c r="DX33" i="8"/>
  <c r="DW33" i="8"/>
  <c r="DX23" i="8"/>
  <c r="DW23" i="8"/>
  <c r="DX13" i="8"/>
  <c r="DW13" i="8"/>
  <c r="CS51" i="8"/>
  <c r="CR51" i="8"/>
  <c r="DX51" i="8"/>
  <c r="DW51" i="8"/>
  <c r="DX8" i="8"/>
  <c r="DW8" i="8"/>
  <c r="DX17" i="8"/>
  <c r="DW17" i="8"/>
  <c r="CS48" i="8"/>
  <c r="CR48" i="8"/>
  <c r="DX48" i="8"/>
  <c r="DW48" i="8"/>
  <c r="CS28" i="8"/>
  <c r="CR28" i="8"/>
  <c r="DX28" i="8"/>
  <c r="DW28" i="8"/>
  <c r="CS77" i="8"/>
  <c r="CR77" i="8"/>
  <c r="DX77" i="8"/>
  <c r="DW77" i="8"/>
  <c r="CS67" i="8"/>
  <c r="CR67" i="8"/>
  <c r="DX67" i="8"/>
  <c r="DW67" i="8"/>
  <c r="CS57" i="8"/>
  <c r="CR57" i="8"/>
  <c r="DX57" i="8"/>
  <c r="DW57" i="8"/>
  <c r="CS47" i="8"/>
  <c r="CR47" i="8"/>
  <c r="DX47" i="8"/>
  <c r="DW47" i="8"/>
  <c r="CS37" i="8"/>
  <c r="CR37" i="8"/>
  <c r="DX37" i="8"/>
  <c r="DW37" i="8"/>
  <c r="CS27" i="8"/>
  <c r="CR27" i="8"/>
  <c r="DX27" i="8"/>
  <c r="DW27" i="8"/>
  <c r="DX7" i="8"/>
  <c r="DW7" i="8"/>
  <c r="CS76" i="8"/>
  <c r="CR76" i="8"/>
  <c r="DX76" i="8"/>
  <c r="DW76" i="8"/>
  <c r="CS66" i="8"/>
  <c r="CR66" i="8"/>
  <c r="DX66" i="8"/>
  <c r="DW66" i="8"/>
  <c r="CS56" i="8"/>
  <c r="CR56" i="8"/>
  <c r="DX56" i="8"/>
  <c r="DW56" i="8"/>
  <c r="CS46" i="8"/>
  <c r="CR46" i="8"/>
  <c r="DX46" i="8"/>
  <c r="DW46" i="8"/>
  <c r="CS36" i="8"/>
  <c r="CR36" i="8"/>
  <c r="DX36" i="8"/>
  <c r="DW36" i="8"/>
  <c r="DX26" i="8"/>
  <c r="DW26" i="8"/>
  <c r="DX16" i="8"/>
  <c r="DW16" i="8"/>
  <c r="CS68" i="8"/>
  <c r="CR68" i="8"/>
  <c r="DX68" i="8"/>
  <c r="DW68" i="8"/>
  <c r="DX18" i="8"/>
  <c r="DW18" i="8"/>
  <c r="CS75" i="8"/>
  <c r="CR75" i="8"/>
  <c r="DX75" i="8"/>
  <c r="DW75" i="8"/>
  <c r="CS65" i="8"/>
  <c r="CR65" i="8"/>
  <c r="DX65" i="8"/>
  <c r="DW65" i="8"/>
  <c r="CS55" i="8"/>
  <c r="CR55" i="8"/>
  <c r="DX55" i="8"/>
  <c r="DW55" i="8"/>
  <c r="CS45" i="8"/>
  <c r="CR45" i="8"/>
  <c r="DX45" i="8"/>
  <c r="DW45" i="8"/>
  <c r="DX25" i="8"/>
  <c r="DW25" i="8"/>
  <c r="DX15" i="8"/>
  <c r="DW15" i="8"/>
  <c r="DX5" i="8"/>
  <c r="DW5" i="8"/>
  <c r="CS84" i="8"/>
  <c r="CR84" i="8"/>
  <c r="DX84" i="8"/>
  <c r="DW84" i="8"/>
  <c r="CS74" i="8"/>
  <c r="CR74" i="8"/>
  <c r="DX74" i="8"/>
  <c r="DW74" i="8"/>
  <c r="CS64" i="8"/>
  <c r="CR64" i="8"/>
  <c r="DX64" i="8"/>
  <c r="DW64" i="8"/>
  <c r="CS54" i="8"/>
  <c r="CR54" i="8"/>
  <c r="DX54" i="8"/>
  <c r="DW54" i="8"/>
  <c r="CS44" i="8"/>
  <c r="CR44" i="8"/>
  <c r="DX44" i="8"/>
  <c r="DW44" i="8"/>
  <c r="CS34" i="8"/>
  <c r="CR34" i="8"/>
  <c r="DX34" i="8"/>
  <c r="DW34" i="8"/>
  <c r="DX24" i="8"/>
  <c r="DW24" i="8"/>
  <c r="DX14" i="8"/>
  <c r="DW14" i="8"/>
  <c r="CS81" i="8"/>
  <c r="CR81" i="8"/>
  <c r="DX81" i="8"/>
  <c r="DW81" i="8"/>
  <c r="CS82" i="8"/>
  <c r="CR82" i="8"/>
  <c r="DX82" i="8"/>
  <c r="DW82" i="8"/>
  <c r="CS72" i="8"/>
  <c r="CR72" i="8"/>
  <c r="DX72" i="8"/>
  <c r="DW72" i="8"/>
  <c r="CS62" i="8"/>
  <c r="CR62" i="8"/>
  <c r="DX62" i="8"/>
  <c r="DW62" i="8"/>
  <c r="CS52" i="8"/>
  <c r="CR52" i="8"/>
  <c r="DX52" i="8"/>
  <c r="DW52" i="8"/>
  <c r="CS42" i="8"/>
  <c r="CR42" i="8"/>
  <c r="DX42" i="8"/>
  <c r="DW42" i="8"/>
  <c r="CS32" i="8"/>
  <c r="CR32" i="8"/>
  <c r="DX32" i="8"/>
  <c r="DW32" i="8"/>
  <c r="DX22" i="8"/>
  <c r="DW22" i="8"/>
  <c r="DX12" i="8"/>
  <c r="DW12" i="8"/>
  <c r="CS50" i="8"/>
  <c r="CR50" i="8"/>
  <c r="DX50" i="8"/>
  <c r="DW50" i="8"/>
  <c r="DX9" i="8"/>
  <c r="DW9" i="8"/>
  <c r="DX6" i="8"/>
  <c r="DW6" i="8"/>
  <c r="EA84" i="9"/>
  <c r="EA83" i="9"/>
  <c r="EA82" i="9"/>
  <c r="EA81" i="9"/>
  <c r="EA80" i="9"/>
  <c r="EA79" i="9"/>
  <c r="EA78" i="9"/>
  <c r="EA77" i="9"/>
  <c r="EA76" i="9"/>
  <c r="EA75" i="9"/>
  <c r="EA74" i="9"/>
  <c r="EA73" i="9"/>
  <c r="EA72" i="9"/>
  <c r="EA71" i="9"/>
  <c r="EA70" i="9"/>
  <c r="EA69" i="9"/>
  <c r="EA68" i="9"/>
  <c r="EA67" i="9"/>
  <c r="EA66" i="9"/>
  <c r="EA65" i="9"/>
  <c r="EA64" i="9"/>
  <c r="EA63" i="9"/>
  <c r="EA62" i="9"/>
  <c r="EA61" i="9"/>
  <c r="EA60" i="9"/>
  <c r="EA59" i="9"/>
  <c r="EA58" i="9"/>
  <c r="EA57" i="9"/>
  <c r="EA56" i="9"/>
  <c r="EA55" i="9"/>
  <c r="EA54" i="9"/>
  <c r="EA53" i="9"/>
  <c r="EA52" i="9"/>
  <c r="EA51" i="9"/>
  <c r="EA50" i="9"/>
  <c r="EA49" i="9"/>
  <c r="EA48" i="9"/>
  <c r="EA47" i="9"/>
  <c r="EA46" i="9"/>
  <c r="EA45" i="9"/>
  <c r="EA44" i="9"/>
  <c r="EA43" i="9"/>
  <c r="EA42" i="9"/>
  <c r="EA41" i="9"/>
  <c r="EA40" i="9"/>
  <c r="EA39" i="9"/>
  <c r="EA38" i="9"/>
  <c r="EA37" i="9"/>
  <c r="EA36" i="9"/>
  <c r="EA35" i="9"/>
  <c r="EA34" i="9"/>
  <c r="EA33" i="9"/>
  <c r="EA32" i="9"/>
  <c r="EA31" i="9"/>
  <c r="EA30" i="9"/>
  <c r="EA29" i="9"/>
  <c r="EA28" i="9"/>
  <c r="EA27" i="9"/>
  <c r="EA26" i="9"/>
  <c r="EA25" i="9"/>
  <c r="EA24" i="9"/>
  <c r="EA23" i="9"/>
  <c r="EA22" i="9"/>
  <c r="EA21" i="9"/>
  <c r="EA20" i="9"/>
  <c r="EA19" i="9"/>
  <c r="EA18" i="9"/>
  <c r="EA17" i="9"/>
  <c r="EA16" i="9"/>
  <c r="EA15" i="9"/>
  <c r="EA14" i="9"/>
  <c r="EA13" i="9"/>
  <c r="EA12" i="9"/>
  <c r="EA11" i="9"/>
  <c r="EA10" i="9"/>
  <c r="EA9" i="9"/>
  <c r="EA8" i="9"/>
  <c r="EA7" i="9"/>
  <c r="EA6" i="9"/>
  <c r="EA5" i="9"/>
  <c r="EA4" i="9"/>
  <c r="BU84" i="9"/>
  <c r="BT84" i="9"/>
  <c r="BU83" i="9"/>
  <c r="BT83" i="9"/>
  <c r="BU82" i="9"/>
  <c r="BT82" i="9"/>
  <c r="BU81" i="9"/>
  <c r="BT81" i="9"/>
  <c r="BU80" i="9"/>
  <c r="BT80" i="9"/>
  <c r="BU79" i="9"/>
  <c r="BT79" i="9"/>
  <c r="BU78" i="9"/>
  <c r="BT78" i="9"/>
  <c r="BU77" i="9"/>
  <c r="BT77" i="9"/>
  <c r="BU76" i="9"/>
  <c r="BT76" i="9"/>
  <c r="BU75" i="9"/>
  <c r="BT75" i="9"/>
  <c r="BU74" i="9"/>
  <c r="BT74" i="9"/>
  <c r="BU73" i="9"/>
  <c r="BT73" i="9"/>
  <c r="BU72" i="9"/>
  <c r="BT72" i="9"/>
  <c r="BU71" i="9"/>
  <c r="BT71" i="9"/>
  <c r="BU70" i="9"/>
  <c r="BT70" i="9"/>
  <c r="BU69" i="9"/>
  <c r="BT69" i="9"/>
  <c r="BU68" i="9"/>
  <c r="BT68" i="9"/>
  <c r="BU67" i="9"/>
  <c r="BT67" i="9"/>
  <c r="BU66" i="9"/>
  <c r="BT66" i="9"/>
  <c r="BU65" i="9"/>
  <c r="BT65" i="9"/>
  <c r="BU64" i="9"/>
  <c r="BT64" i="9"/>
  <c r="BU63" i="9"/>
  <c r="BT63" i="9"/>
  <c r="BU62" i="9"/>
  <c r="BT62" i="9"/>
  <c r="BU61" i="9"/>
  <c r="BT61" i="9"/>
  <c r="BU60" i="9"/>
  <c r="BT60" i="9"/>
  <c r="BU59" i="9"/>
  <c r="BT59" i="9"/>
  <c r="BU58" i="9"/>
  <c r="BT58" i="9"/>
  <c r="BU57" i="9"/>
  <c r="BT57" i="9"/>
  <c r="BU56" i="9"/>
  <c r="BT56" i="9"/>
  <c r="BU55" i="9"/>
  <c r="BT55" i="9"/>
  <c r="BU54" i="9"/>
  <c r="BT54" i="9"/>
  <c r="BU53" i="9"/>
  <c r="BT53" i="9"/>
  <c r="BU52" i="9"/>
  <c r="BT52" i="9"/>
  <c r="BU51" i="9"/>
  <c r="BT51" i="9"/>
  <c r="BU50" i="9"/>
  <c r="BT50" i="9"/>
  <c r="BU49" i="9"/>
  <c r="BT49" i="9"/>
  <c r="BU48" i="9"/>
  <c r="BT48" i="9"/>
  <c r="BU47" i="9"/>
  <c r="BT47" i="9"/>
  <c r="BU46" i="9"/>
  <c r="BT46" i="9"/>
  <c r="BU45" i="9"/>
  <c r="BT45" i="9"/>
  <c r="BU44" i="9"/>
  <c r="BT44" i="9"/>
  <c r="BU43" i="9"/>
  <c r="BT43" i="9"/>
  <c r="BU42" i="9"/>
  <c r="BT42" i="9"/>
  <c r="BU41" i="9"/>
  <c r="BT41" i="9"/>
  <c r="BU40" i="9"/>
  <c r="BT40" i="9"/>
  <c r="BU39" i="9"/>
  <c r="BT39" i="9"/>
  <c r="BU38" i="9"/>
  <c r="BT38" i="9"/>
  <c r="BU37" i="9"/>
  <c r="BT37" i="9"/>
  <c r="BU36" i="9"/>
  <c r="BT36" i="9"/>
  <c r="BU35" i="9"/>
  <c r="BT35" i="9"/>
  <c r="BU34" i="9"/>
  <c r="BT34" i="9"/>
  <c r="BU33" i="9"/>
  <c r="BT33" i="9"/>
  <c r="BU32" i="9"/>
  <c r="BT32" i="9"/>
  <c r="BU31" i="9"/>
  <c r="BT31" i="9"/>
  <c r="BU30" i="9"/>
  <c r="BT30" i="9"/>
  <c r="BU29" i="9"/>
  <c r="BT29" i="9"/>
  <c r="BU28" i="9"/>
  <c r="BT28" i="9"/>
  <c r="BU27" i="9"/>
  <c r="BT27" i="9"/>
  <c r="BU26" i="9"/>
  <c r="BT26" i="9"/>
  <c r="BU25" i="9"/>
  <c r="BT25" i="9"/>
  <c r="BU24" i="9"/>
  <c r="BT24" i="9"/>
  <c r="BU23" i="9"/>
  <c r="BT23" i="9"/>
  <c r="BU22" i="9"/>
  <c r="BT22" i="9"/>
  <c r="BU21" i="9"/>
  <c r="BT21" i="9"/>
  <c r="BU20" i="9"/>
  <c r="BT20" i="9"/>
  <c r="BU19" i="9"/>
  <c r="BT19" i="9"/>
  <c r="BU18" i="9"/>
  <c r="BT18" i="9"/>
  <c r="BU17" i="9"/>
  <c r="BT17" i="9"/>
  <c r="BU16" i="9"/>
  <c r="BT16" i="9"/>
  <c r="BU15" i="9"/>
  <c r="BT15" i="9"/>
  <c r="BU14" i="9"/>
  <c r="BT14" i="9"/>
  <c r="BU13" i="9"/>
  <c r="BT13" i="9"/>
  <c r="BU12" i="9"/>
  <c r="BT12" i="9"/>
  <c r="BU11" i="9"/>
  <c r="BT11" i="9"/>
  <c r="BU10" i="9"/>
  <c r="BT10" i="9"/>
  <c r="BU9" i="9"/>
  <c r="BT9" i="9"/>
  <c r="BU8" i="9"/>
  <c r="BT8" i="9"/>
  <c r="BU7" i="9"/>
  <c r="BT7" i="9"/>
  <c r="BU6" i="9"/>
  <c r="BT6" i="9"/>
  <c r="BU5" i="9"/>
  <c r="BT5" i="9"/>
  <c r="BK84" i="9"/>
  <c r="BK83" i="9"/>
  <c r="BK82" i="9"/>
  <c r="BK81" i="9"/>
  <c r="BK80" i="9"/>
  <c r="BK79" i="9"/>
  <c r="BK78" i="9"/>
  <c r="BK77" i="9"/>
  <c r="BK76" i="9"/>
  <c r="BK75" i="9"/>
  <c r="BK74" i="9"/>
  <c r="BK73" i="9"/>
  <c r="BK72" i="9"/>
  <c r="BK71" i="9"/>
  <c r="BK70" i="9"/>
  <c r="BK69" i="9"/>
  <c r="BK68" i="9"/>
  <c r="BK67" i="9"/>
  <c r="BK66" i="9"/>
  <c r="BK65" i="9"/>
  <c r="BK64" i="9"/>
  <c r="BK63" i="9"/>
  <c r="BK62" i="9"/>
  <c r="BK61" i="9"/>
  <c r="BK60" i="9"/>
  <c r="BK59" i="9"/>
  <c r="BK58" i="9"/>
  <c r="BK57" i="9"/>
  <c r="BK56" i="9"/>
  <c r="BK55" i="9"/>
  <c r="BK54" i="9"/>
  <c r="BK53" i="9"/>
  <c r="BK52" i="9"/>
  <c r="BK51" i="9"/>
  <c r="BK50" i="9"/>
  <c r="BK49" i="9"/>
  <c r="BK48" i="9"/>
  <c r="BK47" i="9"/>
  <c r="BK46" i="9"/>
  <c r="BK45" i="9"/>
  <c r="BK44" i="9"/>
  <c r="BK43" i="9"/>
  <c r="BK42" i="9"/>
  <c r="BK41" i="9"/>
  <c r="BK40" i="9"/>
  <c r="BK39" i="9"/>
  <c r="BK38" i="9"/>
  <c r="BK37" i="9"/>
  <c r="BK36" i="9"/>
  <c r="BK35" i="9"/>
  <c r="BK34" i="9"/>
  <c r="BK33" i="9"/>
  <c r="BK32" i="9"/>
  <c r="BK31" i="9"/>
  <c r="BK30" i="9"/>
  <c r="BK29" i="9"/>
  <c r="BK28" i="9"/>
  <c r="BK27" i="9"/>
  <c r="BK26" i="9"/>
  <c r="BK25" i="9"/>
  <c r="BK24" i="9"/>
  <c r="BK23" i="9"/>
  <c r="BK22" i="9"/>
  <c r="BK21" i="9"/>
  <c r="BK20" i="9"/>
  <c r="BK19" i="9"/>
  <c r="BK18" i="9"/>
  <c r="BK17" i="9"/>
  <c r="BK16" i="9"/>
  <c r="BK15" i="9"/>
  <c r="BK14" i="9"/>
  <c r="BK13" i="9"/>
  <c r="BK12" i="9"/>
  <c r="BK11" i="9"/>
  <c r="BK10" i="9"/>
  <c r="BK9" i="9"/>
  <c r="BK8" i="9"/>
  <c r="BK7" i="9"/>
  <c r="BK6" i="9"/>
  <c r="BK5" i="9"/>
  <c r="BK4" i="9"/>
  <c r="BA84" i="8"/>
  <c r="BA83" i="8"/>
  <c r="BA82" i="8"/>
  <c r="BA81" i="8"/>
  <c r="BA80" i="8"/>
  <c r="BA79" i="8"/>
  <c r="BA78" i="8"/>
  <c r="BA77" i="8"/>
  <c r="BA76" i="8"/>
  <c r="BA75" i="8"/>
  <c r="BA74" i="8"/>
  <c r="BA73" i="8"/>
  <c r="BA72" i="8"/>
  <c r="BA71" i="8"/>
  <c r="BA70" i="8"/>
  <c r="BA69" i="8"/>
  <c r="BA68" i="8"/>
  <c r="BA67" i="8"/>
  <c r="BA66" i="8"/>
  <c r="BA65" i="8"/>
  <c r="BA64" i="8"/>
  <c r="BA63" i="8"/>
  <c r="BA62" i="8"/>
  <c r="BA61" i="8"/>
  <c r="BA60" i="8"/>
  <c r="BA59" i="8"/>
  <c r="BA58" i="8"/>
  <c r="BA57" i="8"/>
  <c r="BA56" i="8"/>
  <c r="BA55" i="8"/>
  <c r="BA54" i="8"/>
  <c r="BA53" i="8"/>
  <c r="BA52" i="8"/>
  <c r="BA51" i="8"/>
  <c r="BA50" i="8"/>
  <c r="BA49" i="8"/>
  <c r="BA48" i="8"/>
  <c r="BA47" i="8"/>
  <c r="BA46" i="8"/>
  <c r="BA45" i="8"/>
  <c r="BA44" i="8"/>
  <c r="BA43" i="8"/>
  <c r="BA42" i="8"/>
  <c r="BA41" i="8"/>
  <c r="BA40" i="8"/>
  <c r="BA39" i="8"/>
  <c r="BA38" i="8"/>
  <c r="BA37" i="8"/>
  <c r="BA36" i="8"/>
  <c r="BA35" i="8"/>
  <c r="BA34" i="8"/>
  <c r="BA33" i="8"/>
  <c r="BA32" i="8"/>
  <c r="BA31" i="8"/>
  <c r="BA30" i="8"/>
  <c r="BA29" i="8"/>
  <c r="BA28" i="8"/>
  <c r="BA27" i="8"/>
  <c r="BA26" i="8"/>
  <c r="BA25" i="8"/>
  <c r="BA24" i="8"/>
  <c r="BA23" i="8"/>
  <c r="BA22" i="8"/>
  <c r="BA21" i="8"/>
  <c r="BA20" i="8"/>
  <c r="BA19" i="8"/>
  <c r="BA18" i="8"/>
  <c r="BA17" i="8"/>
  <c r="BA16" i="8"/>
  <c r="BA15" i="8"/>
  <c r="BA14" i="8"/>
  <c r="BA13" i="8"/>
  <c r="BA12" i="8"/>
  <c r="BA11" i="8"/>
  <c r="BA10" i="8"/>
  <c r="BA9" i="8"/>
  <c r="BA8" i="8"/>
  <c r="BA7" i="8"/>
  <c r="BA5" i="8"/>
  <c r="BA6" i="8"/>
  <c r="AR84" i="9"/>
  <c r="AR83" i="9"/>
  <c r="AR82" i="9"/>
  <c r="AR81" i="9"/>
  <c r="AR80" i="9"/>
  <c r="AR79" i="9"/>
  <c r="AR78" i="9"/>
  <c r="AR77" i="9"/>
  <c r="AR76" i="9"/>
  <c r="AR75" i="9"/>
  <c r="AR74" i="9"/>
  <c r="AR73" i="9"/>
  <c r="AR72" i="9"/>
  <c r="AR71" i="9"/>
  <c r="AR70" i="9"/>
  <c r="AR69" i="9"/>
  <c r="AR68" i="9"/>
  <c r="AR67" i="9"/>
  <c r="AR66" i="9"/>
  <c r="AR65" i="9"/>
  <c r="AR64" i="9"/>
  <c r="AR63" i="9"/>
  <c r="AR62" i="9"/>
  <c r="AR61" i="9"/>
  <c r="AR60" i="9"/>
  <c r="AR59" i="9"/>
  <c r="AR58" i="9"/>
  <c r="AR57" i="9"/>
  <c r="AR56" i="9"/>
  <c r="AR55" i="9"/>
  <c r="AR54" i="9"/>
  <c r="AR53" i="9"/>
  <c r="AR52" i="9"/>
  <c r="AR51" i="9"/>
  <c r="AR50" i="9"/>
  <c r="AR49" i="9"/>
  <c r="AR48" i="9"/>
  <c r="AR47" i="9"/>
  <c r="AR46" i="9"/>
  <c r="AR45" i="9"/>
  <c r="AR44" i="9"/>
  <c r="AR43" i="9"/>
  <c r="AR42" i="9"/>
  <c r="AR41" i="9"/>
  <c r="AR40" i="9"/>
  <c r="AR39" i="9"/>
  <c r="AR38" i="9"/>
  <c r="AR37" i="9"/>
  <c r="AR36" i="9"/>
  <c r="AR35" i="9"/>
  <c r="AR34" i="9"/>
  <c r="AR33" i="9"/>
  <c r="AR32" i="9"/>
  <c r="AR31" i="9"/>
  <c r="AR30" i="9"/>
  <c r="AR29" i="9"/>
  <c r="AR28" i="9"/>
  <c r="AR27" i="9"/>
  <c r="AR26" i="9"/>
  <c r="AR25" i="9"/>
  <c r="AR24" i="9"/>
  <c r="AR23" i="9"/>
  <c r="AR22" i="9"/>
  <c r="AR21" i="9"/>
  <c r="AR20" i="9"/>
  <c r="AR19" i="9"/>
  <c r="AR18" i="9"/>
  <c r="AR17" i="9"/>
  <c r="AR16" i="9"/>
  <c r="AR15" i="9"/>
  <c r="AR14" i="9"/>
  <c r="AR13" i="9"/>
  <c r="AR12" i="9"/>
  <c r="AR11" i="9"/>
  <c r="AR10" i="9"/>
  <c r="AR9" i="9"/>
  <c r="AR8" i="9"/>
  <c r="AR7" i="9"/>
  <c r="AR6" i="9"/>
  <c r="AR5" i="9"/>
  <c r="AR4" i="9"/>
  <c r="BC84" i="9"/>
  <c r="BB84" i="9"/>
  <c r="BC83" i="9"/>
  <c r="BB83" i="9"/>
  <c r="BC82" i="9"/>
  <c r="BB82" i="9"/>
  <c r="BC81" i="9"/>
  <c r="BB81" i="9"/>
  <c r="BC80" i="9"/>
  <c r="BB80" i="9"/>
  <c r="BC79" i="9"/>
  <c r="BB79" i="9"/>
  <c r="BC78" i="9"/>
  <c r="BB78" i="9"/>
  <c r="BC77" i="9"/>
  <c r="BB77" i="9"/>
  <c r="BC76" i="9"/>
  <c r="BB76" i="9"/>
  <c r="BC75" i="9"/>
  <c r="BB75" i="9"/>
  <c r="BC74" i="9"/>
  <c r="BB74" i="9"/>
  <c r="BC73" i="9"/>
  <c r="BB73" i="9"/>
  <c r="BC72" i="9"/>
  <c r="BB72" i="9"/>
  <c r="BC71" i="9"/>
  <c r="BB71" i="9"/>
  <c r="BC70" i="9"/>
  <c r="BB70" i="9"/>
  <c r="BC69" i="9"/>
  <c r="BB69" i="9"/>
  <c r="BC68" i="9"/>
  <c r="BB68" i="9"/>
  <c r="BC67" i="9"/>
  <c r="BB67" i="9"/>
  <c r="BC66" i="9"/>
  <c r="BB66" i="9"/>
  <c r="BC65" i="9"/>
  <c r="BB65" i="9"/>
  <c r="BC64" i="9"/>
  <c r="BB64" i="9"/>
  <c r="BC63" i="9"/>
  <c r="BB63" i="9"/>
  <c r="BC62" i="9"/>
  <c r="BB62" i="9"/>
  <c r="BC61" i="9"/>
  <c r="BB61" i="9"/>
  <c r="BC60" i="9"/>
  <c r="BB60" i="9"/>
  <c r="BC59" i="9"/>
  <c r="BB59" i="9"/>
  <c r="BC58" i="9"/>
  <c r="BB58" i="9"/>
  <c r="BC57" i="9"/>
  <c r="BB57" i="9"/>
  <c r="BC56" i="9"/>
  <c r="BB56" i="9"/>
  <c r="BC55" i="9"/>
  <c r="BB55" i="9"/>
  <c r="BC54" i="9"/>
  <c r="BB54" i="9"/>
  <c r="BC53" i="9"/>
  <c r="BB53" i="9"/>
  <c r="BC52" i="9"/>
  <c r="BB52" i="9"/>
  <c r="BC51" i="9"/>
  <c r="BB51" i="9"/>
  <c r="BC50" i="9"/>
  <c r="BB50" i="9"/>
  <c r="BC49" i="9"/>
  <c r="BB49" i="9"/>
  <c r="BC48" i="9"/>
  <c r="BB48" i="9"/>
  <c r="BC47" i="9"/>
  <c r="BB47" i="9"/>
  <c r="BC46" i="9"/>
  <c r="BB46" i="9"/>
  <c r="BC45" i="9"/>
  <c r="BB45" i="9"/>
  <c r="BC44" i="9"/>
  <c r="BB44" i="9"/>
  <c r="BC43" i="9"/>
  <c r="BB43" i="9"/>
  <c r="BC42" i="9"/>
  <c r="BB42" i="9"/>
  <c r="BC41" i="9"/>
  <c r="BB41" i="9"/>
  <c r="BC40" i="9"/>
  <c r="BB40" i="9"/>
  <c r="BC39" i="9"/>
  <c r="BB39" i="9"/>
  <c r="BC38" i="9"/>
  <c r="BB38" i="9"/>
  <c r="BC37" i="9"/>
  <c r="BB37" i="9"/>
  <c r="BC36" i="9"/>
  <c r="BB36" i="9"/>
  <c r="BC35" i="9"/>
  <c r="BB35" i="9"/>
  <c r="BC34" i="9"/>
  <c r="BB34" i="9"/>
  <c r="BC33" i="9"/>
  <c r="BB33" i="9"/>
  <c r="BC32" i="9"/>
  <c r="BB32" i="9"/>
  <c r="BC31" i="9"/>
  <c r="BB31" i="9"/>
  <c r="BC30" i="9"/>
  <c r="BB30" i="9"/>
  <c r="BC29" i="9"/>
  <c r="BB29" i="9"/>
  <c r="BC28" i="9"/>
  <c r="BB28" i="9"/>
  <c r="BC27" i="9"/>
  <c r="BB27" i="9"/>
  <c r="BC26" i="9"/>
  <c r="BB26" i="9"/>
  <c r="BC25" i="9"/>
  <c r="BB25" i="9"/>
  <c r="BC24" i="9"/>
  <c r="BB24" i="9"/>
  <c r="BC23" i="9"/>
  <c r="BB23" i="9"/>
  <c r="BC22" i="9"/>
  <c r="BB22" i="9"/>
  <c r="BC21" i="9"/>
  <c r="BB21" i="9"/>
  <c r="BC20" i="9"/>
  <c r="BB20" i="9"/>
  <c r="BC19" i="9"/>
  <c r="BB19" i="9"/>
  <c r="BC18" i="9"/>
  <c r="BB18" i="9"/>
  <c r="BC17" i="9"/>
  <c r="BB17" i="9"/>
  <c r="BC16" i="9"/>
  <c r="BB16" i="9"/>
  <c r="BC15" i="9"/>
  <c r="BB15" i="9"/>
  <c r="BC14" i="9"/>
  <c r="BB14" i="9"/>
  <c r="BC13" i="9"/>
  <c r="BB13" i="9"/>
  <c r="BC12" i="9"/>
  <c r="BB12" i="9"/>
  <c r="BC11" i="9"/>
  <c r="BB11" i="9"/>
  <c r="BC10" i="9"/>
  <c r="BB10" i="9"/>
  <c r="BC9" i="9"/>
  <c r="BB9" i="9"/>
  <c r="BC8" i="9"/>
  <c r="BB8" i="9"/>
  <c r="BC7" i="9"/>
  <c r="BB7" i="9"/>
  <c r="BC6" i="9"/>
  <c r="BB6" i="9"/>
  <c r="BC5" i="9"/>
  <c r="BB5" i="9"/>
  <c r="BC4" i="9"/>
  <c r="BB4" i="9"/>
  <c r="L54" i="8"/>
  <c r="L76" i="8"/>
  <c r="L55" i="8"/>
  <c r="L21" i="8"/>
  <c r="AM83" i="8"/>
  <c r="AL83" i="8"/>
  <c r="AM43" i="8"/>
  <c r="AL43" i="8"/>
  <c r="U4" i="8"/>
  <c r="T4" i="8"/>
  <c r="U61" i="8"/>
  <c r="T61" i="8"/>
  <c r="U41" i="8"/>
  <c r="T41" i="8"/>
  <c r="U31" i="8"/>
  <c r="T31" i="8"/>
  <c r="U21" i="8"/>
  <c r="T21" i="8"/>
  <c r="U11" i="8"/>
  <c r="T11" i="8"/>
  <c r="U35" i="8"/>
  <c r="T35" i="8"/>
  <c r="AM73" i="8"/>
  <c r="AL73" i="8"/>
  <c r="AM63" i="8"/>
  <c r="AL63" i="8"/>
  <c r="AM53" i="8"/>
  <c r="AL53" i="8"/>
  <c r="AM33" i="8"/>
  <c r="AL33" i="8"/>
  <c r="AM23" i="8"/>
  <c r="AL23" i="8"/>
  <c r="AM13" i="8"/>
  <c r="AL13" i="8"/>
  <c r="U71" i="8"/>
  <c r="T71" i="8"/>
  <c r="U60" i="8"/>
  <c r="T60" i="8"/>
  <c r="U40" i="8"/>
  <c r="T40" i="8"/>
  <c r="U30" i="8"/>
  <c r="T30" i="8"/>
  <c r="U20" i="8"/>
  <c r="T20" i="8"/>
  <c r="U10" i="8"/>
  <c r="T10" i="8"/>
  <c r="U49" i="8"/>
  <c r="T49" i="8"/>
  <c r="U79" i="8"/>
  <c r="T79" i="8"/>
  <c r="U39" i="8"/>
  <c r="T39" i="8"/>
  <c r="U80" i="8"/>
  <c r="T80" i="8"/>
  <c r="U59" i="8"/>
  <c r="T59" i="8"/>
  <c r="U19" i="8"/>
  <c r="T19" i="8"/>
  <c r="U70" i="8"/>
  <c r="T70" i="8"/>
  <c r="U69" i="8"/>
  <c r="T69" i="8"/>
  <c r="U29" i="8"/>
  <c r="T29" i="8"/>
  <c r="U78" i="8"/>
  <c r="T78" i="8"/>
  <c r="U58" i="8"/>
  <c r="T58" i="8"/>
  <c r="U38" i="8"/>
  <c r="T38" i="8"/>
  <c r="U83" i="8"/>
  <c r="T83" i="8"/>
  <c r="U73" i="8"/>
  <c r="T73" i="8"/>
  <c r="U63" i="8"/>
  <c r="T63" i="8"/>
  <c r="U53" i="8"/>
  <c r="T53" i="8"/>
  <c r="U43" i="8"/>
  <c r="T43" i="8"/>
  <c r="U33" i="8"/>
  <c r="T33" i="8"/>
  <c r="U23" i="8"/>
  <c r="T23" i="8"/>
  <c r="U13" i="8"/>
  <c r="T13" i="8"/>
  <c r="U51" i="8"/>
  <c r="T51" i="8"/>
  <c r="U8" i="8"/>
  <c r="T8" i="8"/>
  <c r="U17" i="8"/>
  <c r="T17" i="8"/>
  <c r="U48" i="8"/>
  <c r="T48" i="8"/>
  <c r="U28" i="8"/>
  <c r="T28" i="8"/>
  <c r="U77" i="8"/>
  <c r="T77" i="8"/>
  <c r="U67" i="8"/>
  <c r="T67" i="8"/>
  <c r="U57" i="8"/>
  <c r="T57" i="8"/>
  <c r="U47" i="8"/>
  <c r="T47" i="8"/>
  <c r="U37" i="8"/>
  <c r="T37" i="8"/>
  <c r="U27" i="8"/>
  <c r="T27" i="8"/>
  <c r="U7" i="8"/>
  <c r="T7" i="8"/>
  <c r="U76" i="8"/>
  <c r="T76" i="8"/>
  <c r="U66" i="8"/>
  <c r="T66" i="8"/>
  <c r="U56" i="8"/>
  <c r="T56" i="8"/>
  <c r="U46" i="8"/>
  <c r="T46" i="8"/>
  <c r="U36" i="8"/>
  <c r="T36" i="8"/>
  <c r="U26" i="8"/>
  <c r="T26" i="8"/>
  <c r="U16" i="8"/>
  <c r="T16" i="8"/>
  <c r="U68" i="8"/>
  <c r="T68" i="8"/>
  <c r="U18" i="8"/>
  <c r="T18" i="8"/>
  <c r="U75" i="8"/>
  <c r="T75" i="8"/>
  <c r="U65" i="8"/>
  <c r="T65" i="8"/>
  <c r="U55" i="8"/>
  <c r="T55" i="8"/>
  <c r="U45" i="8"/>
  <c r="T45" i="8"/>
  <c r="U25" i="8"/>
  <c r="T25" i="8"/>
  <c r="U15" i="8"/>
  <c r="T15" i="8"/>
  <c r="U5" i="8"/>
  <c r="T5" i="8"/>
  <c r="AM82" i="8"/>
  <c r="AL82" i="8"/>
  <c r="AM72" i="8"/>
  <c r="AL72" i="8"/>
  <c r="AM62" i="8"/>
  <c r="AL62" i="8"/>
  <c r="AM52" i="8"/>
  <c r="AL52" i="8"/>
  <c r="AM42" i="8"/>
  <c r="AL42" i="8"/>
  <c r="AM32" i="8"/>
  <c r="AL32" i="8"/>
  <c r="AM22" i="8"/>
  <c r="AL22" i="8"/>
  <c r="AM12" i="8"/>
  <c r="AL12" i="8"/>
  <c r="U84" i="8"/>
  <c r="T84" i="8"/>
  <c r="U74" i="8"/>
  <c r="T74" i="8"/>
  <c r="U64" i="8"/>
  <c r="T64" i="8"/>
  <c r="U54" i="8"/>
  <c r="T54" i="8"/>
  <c r="U44" i="8"/>
  <c r="T44" i="8"/>
  <c r="U34" i="8"/>
  <c r="T34" i="8"/>
  <c r="U24" i="8"/>
  <c r="T24" i="8"/>
  <c r="U14" i="8"/>
  <c r="T14" i="8"/>
  <c r="U81" i="8"/>
  <c r="T81" i="8"/>
  <c r="U82" i="8"/>
  <c r="T82" i="8"/>
  <c r="U72" i="8"/>
  <c r="T72" i="8"/>
  <c r="U62" i="8"/>
  <c r="T62" i="8"/>
  <c r="U52" i="8"/>
  <c r="T52" i="8"/>
  <c r="U42" i="8"/>
  <c r="T42" i="8"/>
  <c r="U32" i="8"/>
  <c r="T32" i="8"/>
  <c r="U22" i="8"/>
  <c r="T22" i="8"/>
  <c r="U12" i="8"/>
  <c r="T12" i="8"/>
  <c r="AM81" i="8"/>
  <c r="AL81" i="8"/>
  <c r="AM71" i="8"/>
  <c r="AL71" i="8"/>
  <c r="AM61" i="8"/>
  <c r="AL61" i="8"/>
  <c r="AM51" i="8"/>
  <c r="AL51" i="8"/>
  <c r="AM41" i="8"/>
  <c r="AL41" i="8"/>
  <c r="AM31" i="8"/>
  <c r="AL31" i="8"/>
  <c r="AM21" i="8"/>
  <c r="AL21" i="8"/>
  <c r="AM11" i="8"/>
  <c r="AL11" i="8"/>
  <c r="AM80" i="8"/>
  <c r="AL80" i="8"/>
  <c r="AM70" i="8"/>
  <c r="AL70" i="8"/>
  <c r="AM60" i="8"/>
  <c r="AL60" i="8"/>
  <c r="AM50" i="8"/>
  <c r="AL50" i="8"/>
  <c r="AM40" i="8"/>
  <c r="AL40" i="8"/>
  <c r="AM30" i="8"/>
  <c r="AL30" i="8"/>
  <c r="AM20" i="8"/>
  <c r="AL20" i="8"/>
  <c r="AM10" i="8"/>
  <c r="AL10" i="8"/>
  <c r="AM79" i="8"/>
  <c r="AL79" i="8"/>
  <c r="AM69" i="8"/>
  <c r="AL69" i="8"/>
  <c r="AM59" i="8"/>
  <c r="AL59" i="8"/>
  <c r="AM49" i="8"/>
  <c r="AL49" i="8"/>
  <c r="AM39" i="8"/>
  <c r="AL39" i="8"/>
  <c r="AM29" i="8"/>
  <c r="AL29" i="8"/>
  <c r="AM19" i="8"/>
  <c r="AL19" i="8"/>
  <c r="AM9" i="8"/>
  <c r="AL9" i="8"/>
  <c r="U50" i="8"/>
  <c r="T50" i="8"/>
  <c r="U9" i="8"/>
  <c r="T9" i="8"/>
  <c r="AM78" i="8"/>
  <c r="AL78" i="8"/>
  <c r="AM68" i="8"/>
  <c r="AL68" i="8"/>
  <c r="AM58" i="8"/>
  <c r="AL58" i="8"/>
  <c r="AM48" i="8"/>
  <c r="AL48" i="8"/>
  <c r="AM38" i="8"/>
  <c r="AL38" i="8"/>
  <c r="AM28" i="8"/>
  <c r="AL28" i="8"/>
  <c r="AM18" i="8"/>
  <c r="AL18" i="8"/>
  <c r="AM8" i="8"/>
  <c r="AL8" i="8"/>
  <c r="AM77" i="8"/>
  <c r="AL77" i="8"/>
  <c r="AM67" i="8"/>
  <c r="AL67" i="8"/>
  <c r="AM57" i="8"/>
  <c r="AL57" i="8"/>
  <c r="AM47" i="8"/>
  <c r="AL47" i="8"/>
  <c r="AM37" i="8"/>
  <c r="AL37" i="8"/>
  <c r="AM27" i="8"/>
  <c r="AL27" i="8"/>
  <c r="AM17" i="8"/>
  <c r="AL17" i="8"/>
  <c r="AM7" i="8"/>
  <c r="AL7" i="8"/>
  <c r="AM76" i="8"/>
  <c r="AL76" i="8"/>
  <c r="AM66" i="8"/>
  <c r="AL66" i="8"/>
  <c r="AM56" i="8"/>
  <c r="AL56" i="8"/>
  <c r="AM46" i="8"/>
  <c r="AL46" i="8"/>
  <c r="AM36" i="8"/>
  <c r="AL36" i="8"/>
  <c r="AM26" i="8"/>
  <c r="AL26" i="8"/>
  <c r="AM16" i="8"/>
  <c r="AL16" i="8"/>
  <c r="AM6" i="8"/>
  <c r="AL6" i="8"/>
  <c r="AM84" i="8"/>
  <c r="AL84" i="8"/>
  <c r="AM75" i="8"/>
  <c r="AL75" i="8"/>
  <c r="AM65" i="8"/>
  <c r="AL65" i="8"/>
  <c r="AM55" i="8"/>
  <c r="AL55" i="8"/>
  <c r="AM45" i="8"/>
  <c r="AL45" i="8"/>
  <c r="AM35" i="8"/>
  <c r="AL35" i="8"/>
  <c r="AM25" i="8"/>
  <c r="AL25" i="8"/>
  <c r="AM15" i="8"/>
  <c r="AL15" i="8"/>
  <c r="AM5" i="8"/>
  <c r="AL5" i="8"/>
  <c r="AM74" i="8"/>
  <c r="AL74" i="8"/>
  <c r="AM64" i="8"/>
  <c r="AL64" i="8"/>
  <c r="AM54" i="8"/>
  <c r="AL54" i="8"/>
  <c r="AM44" i="8"/>
  <c r="AL44" i="8"/>
  <c r="AM34" i="8"/>
  <c r="AL34" i="8"/>
  <c r="AM24" i="8"/>
  <c r="AL24" i="8"/>
  <c r="AM14" i="8"/>
  <c r="AL14" i="8"/>
  <c r="AM4" i="8"/>
  <c r="AL4" i="8"/>
  <c r="U6" i="8"/>
  <c r="T6" i="8"/>
  <c r="AG84" i="9"/>
  <c r="AG83" i="9"/>
  <c r="AG82" i="9"/>
  <c r="AG81" i="9"/>
  <c r="AG80" i="9"/>
  <c r="AG79" i="9"/>
  <c r="AG78" i="9"/>
  <c r="AG77" i="9"/>
  <c r="AG76" i="9"/>
  <c r="AG75" i="9"/>
  <c r="AG74" i="9"/>
  <c r="AG73" i="9"/>
  <c r="AG72" i="9"/>
  <c r="AG71" i="9"/>
  <c r="AG70" i="9"/>
  <c r="AG69" i="9"/>
  <c r="AG68" i="9"/>
  <c r="AG67" i="9"/>
  <c r="AG66" i="9"/>
  <c r="AG65" i="9"/>
  <c r="AG64" i="9"/>
  <c r="AG63" i="9"/>
  <c r="AG62" i="9"/>
  <c r="AG61" i="9"/>
  <c r="AG60" i="9"/>
  <c r="AG59" i="9"/>
  <c r="AG58" i="9"/>
  <c r="AG57" i="9"/>
  <c r="AG56" i="9"/>
  <c r="AG55" i="9"/>
  <c r="AG54" i="9"/>
  <c r="AG53" i="9"/>
  <c r="AG52" i="9"/>
  <c r="AG51" i="9"/>
  <c r="AG50" i="9"/>
  <c r="AG49" i="9"/>
  <c r="AG48" i="9"/>
  <c r="AG47" i="9"/>
  <c r="AG46" i="9"/>
  <c r="AG45" i="9"/>
  <c r="AG44" i="9"/>
  <c r="AG43" i="9"/>
  <c r="AG42" i="9"/>
  <c r="AG41" i="9"/>
  <c r="AG40" i="9"/>
  <c r="AG39" i="9"/>
  <c r="AG38" i="9"/>
  <c r="AG37" i="9"/>
  <c r="AG36" i="9"/>
  <c r="AG35" i="9"/>
  <c r="AG34" i="9"/>
  <c r="AG33" i="9"/>
  <c r="AG32" i="9"/>
  <c r="AG31" i="9"/>
  <c r="AG30" i="9"/>
  <c r="AG29" i="9"/>
  <c r="AG28" i="9"/>
  <c r="AG27" i="9"/>
  <c r="AG26" i="9"/>
  <c r="AG25" i="9"/>
  <c r="AG24" i="9"/>
  <c r="AG23" i="9"/>
  <c r="AG22" i="9"/>
  <c r="AG21" i="9"/>
  <c r="AG20" i="9"/>
  <c r="AG19" i="9"/>
  <c r="AG18" i="9"/>
  <c r="AG17" i="9"/>
  <c r="AG16" i="9"/>
  <c r="AG15" i="9"/>
  <c r="AG14" i="9"/>
  <c r="AG13" i="9"/>
  <c r="AG12" i="9"/>
  <c r="AG11" i="9"/>
  <c r="AG10" i="9"/>
  <c r="AG9" i="9"/>
  <c r="AG8" i="9"/>
  <c r="AG7" i="9"/>
  <c r="AG6" i="9"/>
  <c r="AG5" i="9"/>
  <c r="AG4" i="9"/>
  <c r="Y84" i="9"/>
  <c r="Y83" i="9"/>
  <c r="Y82" i="9"/>
  <c r="Y81" i="9"/>
  <c r="Y80" i="9"/>
  <c r="Y79" i="9"/>
  <c r="Y78" i="9"/>
  <c r="Y77" i="9"/>
  <c r="Y76" i="9"/>
  <c r="Y75" i="9"/>
  <c r="Y74" i="9"/>
  <c r="Y73" i="9"/>
  <c r="Y72" i="9"/>
  <c r="Y71" i="9"/>
  <c r="Y70" i="9"/>
  <c r="Y69" i="9"/>
  <c r="Y68" i="9"/>
  <c r="Y67" i="9"/>
  <c r="Y66" i="9"/>
  <c r="Y65" i="9"/>
  <c r="Y64" i="9"/>
  <c r="Y63" i="9"/>
  <c r="Y62" i="9"/>
  <c r="Y61" i="9"/>
  <c r="Y60" i="9"/>
  <c r="Y59" i="9"/>
  <c r="Y58" i="9"/>
  <c r="Y57" i="9"/>
  <c r="Y56" i="9"/>
  <c r="Y55" i="9"/>
  <c r="Y54" i="9"/>
  <c r="Y53" i="9"/>
  <c r="Y52" i="9"/>
  <c r="Y51" i="9"/>
  <c r="Y50" i="9"/>
  <c r="Y49" i="9"/>
  <c r="Y48" i="9"/>
  <c r="Y47" i="9"/>
  <c r="Y46" i="9"/>
  <c r="Y45" i="9"/>
  <c r="Y44" i="9"/>
  <c r="Y43" i="9"/>
  <c r="Y42" i="9"/>
  <c r="Y41" i="9"/>
  <c r="Y40" i="9"/>
  <c r="Y39" i="9"/>
  <c r="Y38" i="9"/>
  <c r="Y37" i="9"/>
  <c r="Y36" i="9"/>
  <c r="Y35" i="9"/>
  <c r="Y34" i="9"/>
  <c r="Y33" i="9"/>
  <c r="Y32" i="9"/>
  <c r="Y31" i="9"/>
  <c r="Y30" i="9"/>
  <c r="Y29" i="9"/>
  <c r="Y28" i="9"/>
  <c r="Y27" i="9"/>
  <c r="Y26" i="9"/>
  <c r="Y25" i="9"/>
  <c r="Y24" i="9"/>
  <c r="Y23" i="9"/>
  <c r="Y22" i="9"/>
  <c r="Y21" i="9"/>
  <c r="Y20" i="9"/>
  <c r="Y19" i="9"/>
  <c r="Y18" i="9"/>
  <c r="Y17" i="9"/>
  <c r="Y16" i="9"/>
  <c r="Y15" i="9"/>
  <c r="Y14" i="9"/>
  <c r="Y13" i="9"/>
  <c r="Y12" i="9"/>
  <c r="Y11" i="9"/>
  <c r="Y10" i="9"/>
  <c r="Y9" i="9"/>
  <c r="Y8" i="9"/>
  <c r="Y7" i="9"/>
  <c r="Y6" i="9"/>
  <c r="Y5" i="9"/>
  <c r="Y4" i="9"/>
  <c r="W224" i="2"/>
  <c r="O273" i="2"/>
  <c r="P273" i="2"/>
  <c r="I274" i="2"/>
  <c r="J274" i="2"/>
  <c r="I273" i="2"/>
  <c r="J273" i="2"/>
  <c r="N215" i="2"/>
  <c r="M215" i="2"/>
  <c r="M214" i="2"/>
  <c r="N214" i="2"/>
  <c r="L273" i="2"/>
  <c r="K273" i="2"/>
  <c r="W237" i="2"/>
  <c r="L274" i="2"/>
  <c r="K274" i="2"/>
  <c r="O274" i="2"/>
  <c r="P274" i="2"/>
  <c r="W312" i="2"/>
  <c r="X312" i="2"/>
  <c r="I34" i="5"/>
  <c r="G34" i="5" s="1"/>
  <c r="W190" i="2"/>
  <c r="X190" i="2"/>
  <c r="X293" i="2"/>
  <c r="W293" i="2"/>
  <c r="W182" i="2"/>
  <c r="X182" i="2"/>
  <c r="X148" i="2"/>
  <c r="W148" i="2"/>
  <c r="I133" i="2"/>
  <c r="I10" i="5"/>
  <c r="G10" i="5" s="1"/>
  <c r="W147" i="2"/>
  <c r="X147" i="2"/>
  <c r="X285" i="2"/>
  <c r="W285" i="2"/>
  <c r="W294" i="2"/>
  <c r="X294" i="2"/>
  <c r="W191" i="2"/>
  <c r="X191" i="2"/>
  <c r="X237" i="2"/>
  <c r="X303" i="2"/>
  <c r="W303" i="2"/>
  <c r="W284" i="2"/>
  <c r="X284" i="2"/>
  <c r="M54" i="2"/>
  <c r="W101" i="2"/>
  <c r="X101" i="2"/>
  <c r="W236" i="2"/>
  <c r="X236" i="2"/>
  <c r="X224" i="2"/>
  <c r="X225" i="2"/>
  <c r="W225" i="2"/>
  <c r="I6" i="5"/>
  <c r="G6" i="5" s="1"/>
  <c r="I38" i="5"/>
  <c r="G38" i="5" s="1"/>
  <c r="X311" i="2"/>
  <c r="W311" i="2"/>
  <c r="W183" i="2"/>
  <c r="X183" i="2"/>
  <c r="I36" i="5"/>
  <c r="G36" i="5" s="1"/>
  <c r="X302" i="2"/>
  <c r="W302" i="2"/>
  <c r="W100" i="2"/>
  <c r="X100" i="2"/>
  <c r="I18" i="5"/>
  <c r="G18" i="5" s="1"/>
  <c r="J34" i="5"/>
  <c r="H34" i="5" s="1"/>
  <c r="I24" i="5"/>
  <c r="G24" i="5" s="1"/>
  <c r="J38" i="5"/>
  <c r="I32" i="5"/>
  <c r="G32" i="5" s="1"/>
  <c r="AC170" i="2"/>
  <c r="AB170" i="2"/>
  <c r="O38" i="2"/>
  <c r="R170" i="2"/>
  <c r="Q170" i="2"/>
  <c r="N170" i="2"/>
  <c r="M170" i="2"/>
  <c r="P169" i="2"/>
  <c r="O169" i="2"/>
  <c r="Y170" i="2"/>
  <c r="X170" i="2"/>
  <c r="W170" i="2"/>
  <c r="U170" i="2"/>
  <c r="N169" i="2"/>
  <c r="M169" i="2"/>
  <c r="U169" i="2"/>
  <c r="W169" i="2"/>
  <c r="R169" i="2"/>
  <c r="Q169" i="2"/>
  <c r="O170" i="2"/>
  <c r="P170" i="2"/>
  <c r="I162" i="2"/>
  <c r="AC169" i="2"/>
  <c r="AB169" i="2"/>
  <c r="R133" i="2"/>
  <c r="Q133" i="2"/>
  <c r="J133" i="2"/>
  <c r="S162" i="2"/>
  <c r="J32" i="5"/>
  <c r="H32" i="5" s="1"/>
  <c r="K134" i="2"/>
  <c r="L134" i="2"/>
  <c r="I16" i="5"/>
  <c r="G16" i="5" s="1"/>
  <c r="R134" i="2"/>
  <c r="Q134" i="2"/>
  <c r="I12" i="5"/>
  <c r="G12" i="5" s="1"/>
  <c r="L133" i="2"/>
  <c r="K133" i="2"/>
  <c r="N55" i="2"/>
  <c r="M55" i="2"/>
  <c r="J24" i="5"/>
  <c r="H24" i="5" s="1"/>
  <c r="R87" i="2"/>
  <c r="Q87" i="2"/>
  <c r="I22" i="5"/>
  <c r="G22" i="5" s="1"/>
  <c r="N86" i="2"/>
  <c r="M86" i="2"/>
  <c r="N87" i="2"/>
  <c r="M87" i="2"/>
  <c r="J30" i="5"/>
  <c r="H30" i="5" s="1"/>
  <c r="R55" i="2"/>
  <c r="Q55" i="2"/>
  <c r="J12" i="5"/>
  <c r="H12" i="5" s="1"/>
  <c r="N54" i="2"/>
  <c r="J36" i="5"/>
  <c r="H36" i="5" s="1"/>
  <c r="J6" i="5"/>
  <c r="H6" i="5" s="1"/>
  <c r="J10" i="5"/>
  <c r="H10" i="5" s="1"/>
  <c r="J22" i="5"/>
  <c r="H22" i="5" s="1"/>
  <c r="J18" i="5"/>
  <c r="H18" i="5" s="1"/>
  <c r="J16" i="5"/>
  <c r="H16" i="5" s="1"/>
  <c r="S160" i="2"/>
  <c r="I160" i="2"/>
  <c r="E160" i="2"/>
  <c r="I156" i="2"/>
  <c r="E156" i="2"/>
  <c r="S156" i="2"/>
  <c r="U204" i="2"/>
  <c r="I124" i="2"/>
  <c r="S159" i="2"/>
  <c r="E159" i="2"/>
  <c r="M130" i="2"/>
  <c r="E38" i="2"/>
  <c r="M128" i="2"/>
  <c r="M124" i="2"/>
  <c r="M122" i="2"/>
  <c r="M126" i="2"/>
  <c r="S74" i="2"/>
  <c r="E157" i="2"/>
  <c r="I122" i="2"/>
  <c r="S157" i="2"/>
  <c r="S165" i="2"/>
  <c r="E165" i="2"/>
  <c r="I130" i="2"/>
  <c r="I158" i="2"/>
  <c r="E158" i="2"/>
  <c r="S158" i="2"/>
  <c r="K78" i="2"/>
  <c r="I126" i="2"/>
  <c r="E161" i="2"/>
  <c r="S161" i="2"/>
  <c r="E164" i="2"/>
  <c r="S164" i="2"/>
  <c r="I128" i="2"/>
  <c r="I164" i="2"/>
  <c r="L31" i="8"/>
  <c r="L35" i="8"/>
  <c r="L51" i="8"/>
  <c r="L78" i="8"/>
  <c r="L72" i="8"/>
  <c r="L14" i="8"/>
  <c r="L64" i="8"/>
  <c r="L36" i="8"/>
  <c r="L73" i="8"/>
  <c r="L37" i="8"/>
  <c r="L7" i="8"/>
  <c r="L80" i="8"/>
  <c r="L65" i="8"/>
  <c r="L46" i="8"/>
  <c r="L34" i="8"/>
  <c r="L68" i="8"/>
  <c r="L83" i="8"/>
  <c r="L67" i="8"/>
  <c r="L40" i="8"/>
  <c r="L38" i="8"/>
  <c r="L56" i="8"/>
  <c r="L50" i="8"/>
  <c r="L60" i="8"/>
  <c r="L59" i="8"/>
  <c r="L47" i="8"/>
  <c r="L15" i="8"/>
  <c r="L27" i="8"/>
  <c r="L42" i="8"/>
  <c r="L18" i="8"/>
  <c r="L20" i="8"/>
  <c r="L19" i="8"/>
  <c r="L12" i="8"/>
  <c r="L84" i="8"/>
  <c r="L26" i="8"/>
  <c r="L77" i="8"/>
  <c r="L24" i="8"/>
  <c r="L66" i="8"/>
  <c r="L48" i="8"/>
  <c r="L71" i="8"/>
  <c r="L22" i="8"/>
  <c r="L52" i="8"/>
  <c r="L62" i="8"/>
  <c r="L57" i="8"/>
  <c r="L13" i="8"/>
  <c r="L25" i="8"/>
  <c r="L32" i="8"/>
  <c r="L53" i="8"/>
  <c r="L81" i="8"/>
  <c r="L28" i="8"/>
  <c r="L43" i="8"/>
  <c r="L75" i="8"/>
  <c r="L4" i="8"/>
  <c r="L6" i="8"/>
  <c r="O46" i="2"/>
  <c r="U210" i="2"/>
  <c r="E74" i="2"/>
  <c r="U206" i="2"/>
  <c r="K42" i="2"/>
  <c r="K74" i="2"/>
  <c r="O42" i="2"/>
  <c r="E82" i="2"/>
  <c r="K50" i="2"/>
  <c r="K82" i="2"/>
  <c r="E42" i="2"/>
  <c r="I206" i="2"/>
  <c r="E50" i="2"/>
  <c r="E78" i="2"/>
  <c r="O50" i="2"/>
  <c r="S82" i="2"/>
  <c r="I210" i="2"/>
  <c r="U202" i="2"/>
  <c r="K210" i="2"/>
  <c r="K46" i="2"/>
  <c r="O44" i="2"/>
  <c r="I202" i="2"/>
  <c r="K202" i="2"/>
  <c r="K76" i="2"/>
  <c r="E44" i="2"/>
  <c r="K204" i="2"/>
  <c r="S78" i="2"/>
  <c r="K41" i="2"/>
  <c r="S76" i="2"/>
  <c r="K44" i="2"/>
  <c r="K206" i="2"/>
  <c r="E46" i="2"/>
  <c r="E76" i="2"/>
  <c r="I204" i="2"/>
  <c r="I30" i="5"/>
  <c r="G30" i="5" s="1"/>
  <c r="I45" i="5"/>
  <c r="G45" i="5" s="1"/>
  <c r="J33" i="5"/>
  <c r="I33" i="5"/>
  <c r="G33" i="5" s="1"/>
  <c r="J13" i="5"/>
  <c r="I13" i="5"/>
  <c r="G13" i="5" s="1"/>
  <c r="I17" i="5"/>
  <c r="G17" i="5" s="1"/>
  <c r="J17" i="5"/>
  <c r="H17" i="5" s="1"/>
  <c r="J37" i="5"/>
  <c r="I37" i="5"/>
  <c r="G37" i="5" s="1"/>
  <c r="K73" i="2"/>
  <c r="O201" i="2"/>
  <c r="I73" i="2"/>
  <c r="U201" i="2"/>
  <c r="E73" i="2"/>
  <c r="O41" i="2"/>
  <c r="K201" i="2"/>
  <c r="S73" i="2"/>
  <c r="I201" i="2"/>
  <c r="J19" i="5"/>
  <c r="I19" i="5"/>
  <c r="G19" i="5" s="1"/>
  <c r="K203" i="2"/>
  <c r="K43" i="2"/>
  <c r="I203" i="2"/>
  <c r="I43" i="2"/>
  <c r="E43" i="2"/>
  <c r="K75" i="2"/>
  <c r="I75" i="2"/>
  <c r="S75" i="2"/>
  <c r="U203" i="2"/>
  <c r="E75" i="2"/>
  <c r="O203" i="2"/>
  <c r="O43" i="2"/>
  <c r="I205" i="2"/>
  <c r="I45" i="2"/>
  <c r="E45" i="2"/>
  <c r="K77" i="2"/>
  <c r="I77" i="2"/>
  <c r="U205" i="2"/>
  <c r="E77" i="2"/>
  <c r="S77" i="2"/>
  <c r="O205" i="2"/>
  <c r="O45" i="2"/>
  <c r="K205" i="2"/>
  <c r="K45" i="2"/>
  <c r="J25" i="5"/>
  <c r="I25" i="5"/>
  <c r="G25" i="5" s="1"/>
  <c r="J23" i="5"/>
  <c r="I23" i="5"/>
  <c r="G23" i="5" s="1"/>
  <c r="I39" i="5"/>
  <c r="G39" i="5" s="1"/>
  <c r="J39" i="5"/>
  <c r="K199" i="2"/>
  <c r="O39" i="2"/>
  <c r="I7" i="5"/>
  <c r="G7" i="5" s="1"/>
  <c r="J7" i="5"/>
  <c r="I35" i="5"/>
  <c r="G35" i="5" s="1"/>
  <c r="J35" i="5"/>
  <c r="K207" i="2"/>
  <c r="K47" i="2"/>
  <c r="I207" i="2"/>
  <c r="I47" i="2"/>
  <c r="E47" i="2"/>
  <c r="S79" i="2"/>
  <c r="K79" i="2"/>
  <c r="I79" i="2"/>
  <c r="U207" i="2"/>
  <c r="E79" i="2"/>
  <c r="O207" i="2"/>
  <c r="O47" i="2"/>
  <c r="S81" i="2"/>
  <c r="U209" i="2"/>
  <c r="K81" i="2"/>
  <c r="I81" i="2"/>
  <c r="E81" i="2"/>
  <c r="K209" i="2"/>
  <c r="I209" i="2"/>
  <c r="I49" i="2"/>
  <c r="E49" i="2"/>
  <c r="O209" i="2"/>
  <c r="K49" i="2"/>
  <c r="O49" i="2"/>
  <c r="FM6" i="8" l="1"/>
  <c r="FM5" i="8"/>
  <c r="FM7" i="8"/>
  <c r="FM8" i="8"/>
  <c r="FM9" i="8"/>
  <c r="FM10" i="8"/>
  <c r="FM11" i="8"/>
  <c r="FM12" i="8"/>
  <c r="FM13" i="8"/>
  <c r="FM14" i="8"/>
  <c r="FM15" i="8"/>
  <c r="FM16" i="8"/>
  <c r="FM17" i="8"/>
  <c r="FM18" i="8"/>
  <c r="FM19" i="8"/>
  <c r="FM20" i="8"/>
  <c r="FM21" i="8"/>
  <c r="FM22" i="8"/>
  <c r="FM23" i="8"/>
  <c r="FM24" i="8"/>
  <c r="FM25" i="8"/>
  <c r="FM26" i="8"/>
  <c r="FM27" i="8"/>
  <c r="FM28" i="8"/>
  <c r="FM29" i="8"/>
  <c r="FM30" i="8"/>
  <c r="FM31" i="8"/>
  <c r="FM32" i="8"/>
  <c r="FM33" i="8"/>
  <c r="FM34" i="8"/>
  <c r="FM35" i="8"/>
  <c r="FM36" i="8"/>
  <c r="FM37" i="8"/>
  <c r="FM38" i="8"/>
  <c r="FM39" i="8"/>
  <c r="FM40" i="8"/>
  <c r="FM41" i="8"/>
  <c r="FM42" i="8"/>
  <c r="FM43" i="8"/>
  <c r="FM44" i="8"/>
  <c r="FM45" i="8"/>
  <c r="FM46" i="8"/>
  <c r="FM47" i="8"/>
  <c r="FM48" i="8"/>
  <c r="FM49" i="8"/>
  <c r="FM50" i="8"/>
  <c r="FM51" i="8"/>
  <c r="FM52" i="8"/>
  <c r="FM53" i="8"/>
  <c r="FM54" i="8"/>
  <c r="FM55" i="8"/>
  <c r="FM56" i="8"/>
  <c r="FM57" i="8"/>
  <c r="FM58" i="8"/>
  <c r="FM59" i="8"/>
  <c r="FM60" i="8"/>
  <c r="FM61" i="8"/>
  <c r="FM62" i="8"/>
  <c r="FM63" i="8"/>
  <c r="FM64" i="8"/>
  <c r="FM65" i="8"/>
  <c r="FM66" i="8"/>
  <c r="FM67" i="8"/>
  <c r="FM68" i="8"/>
  <c r="FM69" i="8"/>
  <c r="FM70" i="8"/>
  <c r="FM71" i="8"/>
  <c r="FM72" i="8"/>
  <c r="FM73" i="8"/>
  <c r="FM74" i="8"/>
  <c r="FM75" i="8"/>
  <c r="FM76" i="8"/>
  <c r="FM77" i="8"/>
  <c r="FM78" i="8"/>
  <c r="FM79" i="8"/>
  <c r="FM80" i="8"/>
  <c r="FM81" i="8"/>
  <c r="FM82" i="8"/>
  <c r="FM83" i="8"/>
  <c r="FM84" i="8"/>
  <c r="DY6" i="8"/>
  <c r="DY9" i="8"/>
  <c r="DY50" i="8"/>
  <c r="CT50" i="8"/>
  <c r="DY12" i="8"/>
  <c r="DY22" i="8"/>
  <c r="DY32" i="8"/>
  <c r="CT32" i="8"/>
  <c r="DY42" i="8"/>
  <c r="CT42" i="8"/>
  <c r="DY52" i="8"/>
  <c r="CT52" i="8"/>
  <c r="DY62" i="8"/>
  <c r="CT62" i="8"/>
  <c r="DY72" i="8"/>
  <c r="CT72" i="8"/>
  <c r="DY82" i="8"/>
  <c r="CT82" i="8"/>
  <c r="DY81" i="8"/>
  <c r="CT81" i="8"/>
  <c r="DY14" i="8"/>
  <c r="DY24" i="8"/>
  <c r="DY34" i="8"/>
  <c r="CT34" i="8"/>
  <c r="DY44" i="8"/>
  <c r="CT44" i="8"/>
  <c r="DY54" i="8"/>
  <c r="CT54" i="8"/>
  <c r="DY64" i="8"/>
  <c r="CT64" i="8"/>
  <c r="DY74" i="8"/>
  <c r="CT74" i="8"/>
  <c r="DY84" i="8"/>
  <c r="CT84" i="8"/>
  <c r="DY5" i="8"/>
  <c r="DY15" i="8"/>
  <c r="DY25" i="8"/>
  <c r="DY45" i="8"/>
  <c r="CT45" i="8"/>
  <c r="DY55" i="8"/>
  <c r="CT55" i="8"/>
  <c r="DY65" i="8"/>
  <c r="CT65" i="8"/>
  <c r="DY75" i="8"/>
  <c r="CT75" i="8"/>
  <c r="DY18" i="8"/>
  <c r="DY68" i="8"/>
  <c r="CT68" i="8"/>
  <c r="DY16" i="8"/>
  <c r="DY26" i="8"/>
  <c r="DY36" i="8"/>
  <c r="CT36" i="8"/>
  <c r="DY46" i="8"/>
  <c r="CT46" i="8"/>
  <c r="DY56" i="8"/>
  <c r="CT56" i="8"/>
  <c r="DY66" i="8"/>
  <c r="CT66" i="8"/>
  <c r="DY76" i="8"/>
  <c r="CT76" i="8"/>
  <c r="DY7" i="8"/>
  <c r="DY27" i="8"/>
  <c r="CT27" i="8"/>
  <c r="DY37" i="8"/>
  <c r="CT37" i="8"/>
  <c r="DY47" i="8"/>
  <c r="CT47" i="8"/>
  <c r="DY57" i="8"/>
  <c r="CT57" i="8"/>
  <c r="DY67" i="8"/>
  <c r="CT67" i="8"/>
  <c r="DY77" i="8"/>
  <c r="CT77" i="8"/>
  <c r="DY28" i="8"/>
  <c r="CT28" i="8"/>
  <c r="DY48" i="8"/>
  <c r="CT48" i="8"/>
  <c r="DY17" i="8"/>
  <c r="DY8" i="8"/>
  <c r="DY51" i="8"/>
  <c r="CT51" i="8"/>
  <c r="DY13" i="8"/>
  <c r="DY23" i="8"/>
  <c r="DY33" i="8"/>
  <c r="CT33" i="8"/>
  <c r="DY43" i="8"/>
  <c r="CT43" i="8"/>
  <c r="DY53" i="8"/>
  <c r="CT53" i="8"/>
  <c r="DY63" i="8"/>
  <c r="CT63" i="8"/>
  <c r="DY73" i="8"/>
  <c r="CT73" i="8"/>
  <c r="DY83" i="8"/>
  <c r="CT83" i="8"/>
  <c r="DY38" i="8"/>
  <c r="CT38" i="8"/>
  <c r="DY58" i="8"/>
  <c r="CT58" i="8"/>
  <c r="DY78" i="8"/>
  <c r="CT78" i="8"/>
  <c r="DY29" i="8"/>
  <c r="CT29" i="8"/>
  <c r="DY69" i="8"/>
  <c r="CT69" i="8"/>
  <c r="DY70" i="8"/>
  <c r="CT70" i="8"/>
  <c r="DY19" i="8"/>
  <c r="DY59" i="8"/>
  <c r="CT59" i="8"/>
  <c r="DY80" i="8"/>
  <c r="CT80" i="8"/>
  <c r="DY39" i="8"/>
  <c r="CT39" i="8"/>
  <c r="DY79" i="8"/>
  <c r="CT79" i="8"/>
  <c r="DY49" i="8"/>
  <c r="CT49" i="8"/>
  <c r="DY10" i="8"/>
  <c r="DY20" i="8"/>
  <c r="DY30" i="8"/>
  <c r="CT30" i="8"/>
  <c r="DY40" i="8"/>
  <c r="CT40" i="8"/>
  <c r="DY60" i="8"/>
  <c r="CT60" i="8"/>
  <c r="DY71" i="8"/>
  <c r="CT71" i="8"/>
  <c r="DY35" i="8"/>
  <c r="CT35" i="8"/>
  <c r="DY11" i="8"/>
  <c r="DY21" i="8"/>
  <c r="DY31" i="8"/>
  <c r="CT31" i="8"/>
  <c r="DY41" i="8"/>
  <c r="CT41" i="8"/>
  <c r="DY61" i="8"/>
  <c r="CT61" i="8"/>
  <c r="DY4" i="8"/>
  <c r="CV4" i="9"/>
  <c r="CV5" i="9"/>
  <c r="CU5" i="9"/>
  <c r="CV6" i="9"/>
  <c r="CU6" i="9"/>
  <c r="CV7" i="9"/>
  <c r="CU7" i="9"/>
  <c r="CV8" i="9"/>
  <c r="CU8" i="9"/>
  <c r="CV9" i="9"/>
  <c r="CU9" i="9"/>
  <c r="CV10" i="9"/>
  <c r="CU10" i="9"/>
  <c r="CV11" i="9"/>
  <c r="CU11" i="9"/>
  <c r="CV12" i="9"/>
  <c r="CU12" i="9"/>
  <c r="CV13" i="9"/>
  <c r="CU13" i="9"/>
  <c r="CV14" i="9"/>
  <c r="CU14" i="9"/>
  <c r="CV15" i="9"/>
  <c r="CU15" i="9"/>
  <c r="CV16" i="9"/>
  <c r="CU16" i="9"/>
  <c r="CV17" i="9"/>
  <c r="CU17" i="9"/>
  <c r="CV18" i="9"/>
  <c r="CU18" i="9"/>
  <c r="CV19" i="9"/>
  <c r="CU19" i="9"/>
  <c r="CV20" i="9"/>
  <c r="CU20" i="9"/>
  <c r="CV21" i="9"/>
  <c r="CU21" i="9"/>
  <c r="CV22" i="9"/>
  <c r="CU22" i="9"/>
  <c r="CV23" i="9"/>
  <c r="CU23" i="9"/>
  <c r="CV24" i="9"/>
  <c r="CU24" i="9"/>
  <c r="CV25" i="9"/>
  <c r="CU25" i="9"/>
  <c r="CV26" i="9"/>
  <c r="CU26" i="9"/>
  <c r="CV27" i="9"/>
  <c r="CU27" i="9"/>
  <c r="CV28" i="9"/>
  <c r="CU28" i="9"/>
  <c r="CV29" i="9"/>
  <c r="CU29" i="9"/>
  <c r="CV30" i="9"/>
  <c r="CU30" i="9"/>
  <c r="CV31" i="9"/>
  <c r="CU31" i="9"/>
  <c r="CV32" i="9"/>
  <c r="CU32" i="9"/>
  <c r="CV33" i="9"/>
  <c r="CU33" i="9"/>
  <c r="CV34" i="9"/>
  <c r="CU34" i="9"/>
  <c r="CV35" i="9"/>
  <c r="CU35" i="9"/>
  <c r="CV36" i="9"/>
  <c r="CU36" i="9"/>
  <c r="CV37" i="9"/>
  <c r="CU37" i="9"/>
  <c r="CV38" i="9"/>
  <c r="CU38" i="9"/>
  <c r="CV39" i="9"/>
  <c r="CU39" i="9"/>
  <c r="CV40" i="9"/>
  <c r="CU40" i="9"/>
  <c r="CV41" i="9"/>
  <c r="CU41" i="9"/>
  <c r="CV42" i="9"/>
  <c r="CU42" i="9"/>
  <c r="CV43" i="9"/>
  <c r="CU43" i="9"/>
  <c r="CV44" i="9"/>
  <c r="CU44" i="9"/>
  <c r="CV45" i="9"/>
  <c r="CU45" i="9"/>
  <c r="CV46" i="9"/>
  <c r="CU46" i="9"/>
  <c r="CV47" i="9"/>
  <c r="CU47" i="9"/>
  <c r="CV48" i="9"/>
  <c r="CU48" i="9"/>
  <c r="CV49" i="9"/>
  <c r="CU49" i="9"/>
  <c r="CV50" i="9"/>
  <c r="CU50" i="9"/>
  <c r="CV51" i="9"/>
  <c r="CU51" i="9"/>
  <c r="CV52" i="9"/>
  <c r="CU52" i="9"/>
  <c r="CV53" i="9"/>
  <c r="CU53" i="9"/>
  <c r="CV54" i="9"/>
  <c r="CU54" i="9"/>
  <c r="CV55" i="9"/>
  <c r="CU55" i="9"/>
  <c r="CV56" i="9"/>
  <c r="CU56" i="9"/>
  <c r="CV57" i="9"/>
  <c r="CU57" i="9"/>
  <c r="CV58" i="9"/>
  <c r="CU58" i="9"/>
  <c r="CV59" i="9"/>
  <c r="CU59" i="9"/>
  <c r="CV60" i="9"/>
  <c r="CU60" i="9"/>
  <c r="CV61" i="9"/>
  <c r="CU61" i="9"/>
  <c r="CV62" i="9"/>
  <c r="CU62" i="9"/>
  <c r="CV63" i="9"/>
  <c r="CU63" i="9"/>
  <c r="CV64" i="9"/>
  <c r="CU64" i="9"/>
  <c r="CV65" i="9"/>
  <c r="CU65" i="9"/>
  <c r="CV66" i="9"/>
  <c r="CU66" i="9"/>
  <c r="CV67" i="9"/>
  <c r="CU67" i="9"/>
  <c r="CV68" i="9"/>
  <c r="CU68" i="9"/>
  <c r="CV69" i="9"/>
  <c r="CU69" i="9"/>
  <c r="CV70" i="9"/>
  <c r="CU70" i="9"/>
  <c r="CV71" i="9"/>
  <c r="CU71" i="9"/>
  <c r="CV72" i="9"/>
  <c r="CU72" i="9"/>
  <c r="CV73" i="9"/>
  <c r="CU73" i="9"/>
  <c r="CV74" i="9"/>
  <c r="CU74" i="9"/>
  <c r="CV75" i="9"/>
  <c r="CU75" i="9"/>
  <c r="CV76" i="9"/>
  <c r="CU76" i="9"/>
  <c r="CV77" i="9"/>
  <c r="CU77" i="9"/>
  <c r="CV78" i="9"/>
  <c r="CU78" i="9"/>
  <c r="CV79" i="9"/>
  <c r="CU79" i="9"/>
  <c r="CV80" i="9"/>
  <c r="CU80" i="9"/>
  <c r="CV81" i="9"/>
  <c r="CU81" i="9"/>
  <c r="CV82" i="9"/>
  <c r="CU82" i="9"/>
  <c r="CV83" i="9"/>
  <c r="CU83" i="9"/>
  <c r="CV84" i="9"/>
  <c r="CU84" i="9"/>
  <c r="BV4" i="9"/>
  <c r="BV5" i="9"/>
  <c r="BV6" i="9"/>
  <c r="BV7" i="9"/>
  <c r="BV8" i="9"/>
  <c r="BV9" i="9"/>
  <c r="BV10" i="9"/>
  <c r="BV11" i="9"/>
  <c r="BV12" i="9"/>
  <c r="BV13" i="9"/>
  <c r="BV14" i="9"/>
  <c r="BV15" i="9"/>
  <c r="BV16" i="9"/>
  <c r="BV17" i="9"/>
  <c r="BV18" i="9"/>
  <c r="BV19" i="9"/>
  <c r="BV20" i="9"/>
  <c r="BV21" i="9"/>
  <c r="BV22" i="9"/>
  <c r="BV23" i="9"/>
  <c r="BV24" i="9"/>
  <c r="BV25" i="9"/>
  <c r="BV26" i="9"/>
  <c r="BV27" i="9"/>
  <c r="BV28" i="9"/>
  <c r="BV29" i="9"/>
  <c r="BV30" i="9"/>
  <c r="BV31" i="9"/>
  <c r="BV32" i="9"/>
  <c r="BV33" i="9"/>
  <c r="BV34" i="9"/>
  <c r="BV35" i="9"/>
  <c r="BV36" i="9"/>
  <c r="BV37" i="9"/>
  <c r="BV38" i="9"/>
  <c r="BV39" i="9"/>
  <c r="BV40" i="9"/>
  <c r="BV41" i="9"/>
  <c r="BV42" i="9"/>
  <c r="BV43" i="9"/>
  <c r="BV44" i="9"/>
  <c r="BV45" i="9"/>
  <c r="BV46" i="9"/>
  <c r="BV47" i="9"/>
  <c r="BV48" i="9"/>
  <c r="BV49" i="9"/>
  <c r="BV50" i="9"/>
  <c r="BV51" i="9"/>
  <c r="BV52" i="9"/>
  <c r="BV53" i="9"/>
  <c r="BV54" i="9"/>
  <c r="BV55" i="9"/>
  <c r="BV56" i="9"/>
  <c r="BV57" i="9"/>
  <c r="BV58" i="9"/>
  <c r="BV59" i="9"/>
  <c r="BV60" i="9"/>
  <c r="BV61" i="9"/>
  <c r="BV62" i="9"/>
  <c r="BV63" i="9"/>
  <c r="BV64" i="9"/>
  <c r="BV65" i="9"/>
  <c r="BV66" i="9"/>
  <c r="BV67" i="9"/>
  <c r="BV68" i="9"/>
  <c r="BV69" i="9"/>
  <c r="BV70" i="9"/>
  <c r="BV71" i="9"/>
  <c r="BV72" i="9"/>
  <c r="BV73" i="9"/>
  <c r="BV74" i="9"/>
  <c r="BV75" i="9"/>
  <c r="BV76" i="9"/>
  <c r="BV77" i="9"/>
  <c r="BV78" i="9"/>
  <c r="BV79" i="9"/>
  <c r="BV80" i="9"/>
  <c r="BV81" i="9"/>
  <c r="BV82" i="9"/>
  <c r="BV83" i="9"/>
  <c r="BV84" i="9"/>
  <c r="BD4" i="9"/>
  <c r="BD5" i="9"/>
  <c r="BD6" i="9"/>
  <c r="BD7" i="9"/>
  <c r="BD8" i="9"/>
  <c r="BD9" i="9"/>
  <c r="BD10" i="9"/>
  <c r="BD11" i="9"/>
  <c r="BD12" i="9"/>
  <c r="BD13" i="9"/>
  <c r="BD14" i="9"/>
  <c r="BD15" i="9"/>
  <c r="BD16" i="9"/>
  <c r="BD17" i="9"/>
  <c r="BD18" i="9"/>
  <c r="BD19" i="9"/>
  <c r="BD20" i="9"/>
  <c r="BD21" i="9"/>
  <c r="BD22" i="9"/>
  <c r="BD23" i="9"/>
  <c r="BD24" i="9"/>
  <c r="BD25" i="9"/>
  <c r="BD26" i="9"/>
  <c r="BD27" i="9"/>
  <c r="BD28" i="9"/>
  <c r="BD29" i="9"/>
  <c r="BD30" i="9"/>
  <c r="BD31" i="9"/>
  <c r="BD32" i="9"/>
  <c r="BD33" i="9"/>
  <c r="BD34" i="9"/>
  <c r="BD35" i="9"/>
  <c r="BD36" i="9"/>
  <c r="BD37" i="9"/>
  <c r="BD38" i="9"/>
  <c r="BD39" i="9"/>
  <c r="BD40" i="9"/>
  <c r="BD41" i="9"/>
  <c r="BD42" i="9"/>
  <c r="BD43" i="9"/>
  <c r="BD44" i="9"/>
  <c r="BD45" i="9"/>
  <c r="BD46" i="9"/>
  <c r="BD47" i="9"/>
  <c r="BD48" i="9"/>
  <c r="BD49" i="9"/>
  <c r="BD50" i="9"/>
  <c r="BD51" i="9"/>
  <c r="BD52" i="9"/>
  <c r="BD53" i="9"/>
  <c r="BD54" i="9"/>
  <c r="BD55" i="9"/>
  <c r="BD56" i="9"/>
  <c r="BD57" i="9"/>
  <c r="BD58" i="9"/>
  <c r="BD59" i="9"/>
  <c r="BD60" i="9"/>
  <c r="BD61" i="9"/>
  <c r="BD62" i="9"/>
  <c r="BD63" i="9"/>
  <c r="BD64" i="9"/>
  <c r="BD65" i="9"/>
  <c r="BD66" i="9"/>
  <c r="BD67" i="9"/>
  <c r="BD68" i="9"/>
  <c r="BD69" i="9"/>
  <c r="BD70" i="9"/>
  <c r="BD71" i="9"/>
  <c r="BD72" i="9"/>
  <c r="BD73" i="9"/>
  <c r="BD74" i="9"/>
  <c r="BD75" i="9"/>
  <c r="BD76" i="9"/>
  <c r="BD77" i="9"/>
  <c r="BD78" i="9"/>
  <c r="BD79" i="9"/>
  <c r="BD80" i="9"/>
  <c r="BD81" i="9"/>
  <c r="BD82" i="9"/>
  <c r="BD83" i="9"/>
  <c r="BD84" i="9"/>
  <c r="V6" i="8"/>
  <c r="AN4" i="8"/>
  <c r="AN14" i="8"/>
  <c r="AN24" i="8"/>
  <c r="AN34" i="8"/>
  <c r="AN44" i="8"/>
  <c r="AN54" i="8"/>
  <c r="AN64" i="8"/>
  <c r="AN74" i="8"/>
  <c r="AN5" i="8"/>
  <c r="AN15" i="8"/>
  <c r="AN25" i="8"/>
  <c r="AN35" i="8"/>
  <c r="AN45" i="8"/>
  <c r="AN55" i="8"/>
  <c r="AN65" i="8"/>
  <c r="AN75" i="8"/>
  <c r="AN84" i="8"/>
  <c r="AN6" i="8"/>
  <c r="AN16" i="8"/>
  <c r="AN26" i="8"/>
  <c r="AN36" i="8"/>
  <c r="AN46" i="8"/>
  <c r="AN56" i="8"/>
  <c r="AN66" i="8"/>
  <c r="AN76" i="8"/>
  <c r="AN7" i="8"/>
  <c r="AN17" i="8"/>
  <c r="AN27" i="8"/>
  <c r="AN37" i="8"/>
  <c r="AN47" i="8"/>
  <c r="AN57" i="8"/>
  <c r="AN67" i="8"/>
  <c r="AN77" i="8"/>
  <c r="AN8" i="8"/>
  <c r="AN18" i="8"/>
  <c r="AN28" i="8"/>
  <c r="AN38" i="8"/>
  <c r="AN48" i="8"/>
  <c r="AN58" i="8"/>
  <c r="AN68" i="8"/>
  <c r="AN78" i="8"/>
  <c r="V9" i="8"/>
  <c r="V50" i="8"/>
  <c r="AN9" i="8"/>
  <c r="AN19" i="8"/>
  <c r="AN29" i="8"/>
  <c r="AN39" i="8"/>
  <c r="AN49" i="8"/>
  <c r="AN59" i="8"/>
  <c r="AN69" i="8"/>
  <c r="AN79" i="8"/>
  <c r="AN10" i="8"/>
  <c r="AN20" i="8"/>
  <c r="AN30" i="8"/>
  <c r="AN40" i="8"/>
  <c r="AN50" i="8"/>
  <c r="AN60" i="8"/>
  <c r="AN70" i="8"/>
  <c r="AN80" i="8"/>
  <c r="AN11" i="8"/>
  <c r="AN21" i="8"/>
  <c r="AN31" i="8"/>
  <c r="AN41" i="8"/>
  <c r="AN51" i="8"/>
  <c r="AN61" i="8"/>
  <c r="AN71" i="8"/>
  <c r="AN81" i="8"/>
  <c r="V12" i="8"/>
  <c r="V22" i="8"/>
  <c r="V32" i="8"/>
  <c r="V42" i="8"/>
  <c r="V52" i="8"/>
  <c r="V62" i="8"/>
  <c r="V72" i="8"/>
  <c r="V82" i="8"/>
  <c r="V81" i="8"/>
  <c r="V14" i="8"/>
  <c r="V24" i="8"/>
  <c r="V34" i="8"/>
  <c r="V44" i="8"/>
  <c r="V54" i="8"/>
  <c r="V64" i="8"/>
  <c r="V74" i="8"/>
  <c r="V84" i="8"/>
  <c r="AN12" i="8"/>
  <c r="AN22" i="8"/>
  <c r="AN32" i="8"/>
  <c r="AN42" i="8"/>
  <c r="AN52" i="8"/>
  <c r="AN62" i="8"/>
  <c r="AN72" i="8"/>
  <c r="AN82" i="8"/>
  <c r="V5" i="8"/>
  <c r="V15" i="8"/>
  <c r="V25" i="8"/>
  <c r="V45" i="8"/>
  <c r="V55" i="8"/>
  <c r="V65" i="8"/>
  <c r="V75" i="8"/>
  <c r="V18" i="8"/>
  <c r="V68" i="8"/>
  <c r="V16" i="8"/>
  <c r="V26" i="8"/>
  <c r="V36" i="8"/>
  <c r="V46" i="8"/>
  <c r="V56" i="8"/>
  <c r="V66" i="8"/>
  <c r="V76" i="8"/>
  <c r="V7" i="8"/>
  <c r="V27" i="8"/>
  <c r="V37" i="8"/>
  <c r="V47" i="8"/>
  <c r="V57" i="8"/>
  <c r="V67" i="8"/>
  <c r="V77" i="8"/>
  <c r="V28" i="8"/>
  <c r="V48" i="8"/>
  <c r="V17" i="8"/>
  <c r="V8" i="8"/>
  <c r="V51" i="8"/>
  <c r="V13" i="8"/>
  <c r="V23" i="8"/>
  <c r="V33" i="8"/>
  <c r="V43" i="8"/>
  <c r="V53" i="8"/>
  <c r="V63" i="8"/>
  <c r="V73" i="8"/>
  <c r="V83" i="8"/>
  <c r="V38" i="8"/>
  <c r="V58" i="8"/>
  <c r="V78" i="8"/>
  <c r="V29" i="8"/>
  <c r="V69" i="8"/>
  <c r="V70" i="8"/>
  <c r="V19" i="8"/>
  <c r="V59" i="8"/>
  <c r="V80" i="8"/>
  <c r="V39" i="8"/>
  <c r="V79" i="8"/>
  <c r="V49" i="8"/>
  <c r="V10" i="8"/>
  <c r="V20" i="8"/>
  <c r="V30" i="8"/>
  <c r="V40" i="8"/>
  <c r="V60" i="8"/>
  <c r="V71" i="8"/>
  <c r="AN13" i="8"/>
  <c r="AN23" i="8"/>
  <c r="AN33" i="8"/>
  <c r="AN53" i="8"/>
  <c r="AN63" i="8"/>
  <c r="AN73" i="8"/>
  <c r="V35" i="8"/>
  <c r="V11" i="8"/>
  <c r="V21" i="8"/>
  <c r="V31" i="8"/>
  <c r="V41" i="8"/>
  <c r="V61" i="8"/>
  <c r="V4" i="8"/>
  <c r="AN43" i="8"/>
  <c r="AN83" i="8"/>
  <c r="Y101" i="2"/>
  <c r="Y302" i="2"/>
  <c r="Y225" i="2"/>
  <c r="X274" i="2"/>
  <c r="W274" i="2"/>
  <c r="Y191" i="2"/>
  <c r="Y312" i="2"/>
  <c r="X273" i="2"/>
  <c r="W273" i="2"/>
  <c r="Y293" i="2"/>
  <c r="K34" i="5"/>
  <c r="J214" i="2"/>
  <c r="I214" i="2"/>
  <c r="U214" i="2"/>
  <c r="V214" i="2"/>
  <c r="L214" i="2"/>
  <c r="K214" i="2"/>
  <c r="Y311" i="2"/>
  <c r="Y148" i="2"/>
  <c r="K38" i="5"/>
  <c r="W133" i="2"/>
  <c r="Y183" i="2"/>
  <c r="Y284" i="2"/>
  <c r="Y182" i="2"/>
  <c r="Y237" i="2"/>
  <c r="Y100" i="2"/>
  <c r="Y285" i="2"/>
  <c r="I134" i="2"/>
  <c r="Y303" i="2"/>
  <c r="Y224" i="2"/>
  <c r="Y147" i="2"/>
  <c r="Y190" i="2"/>
  <c r="F169" i="2"/>
  <c r="E169" i="2"/>
  <c r="Y236" i="2"/>
  <c r="X133" i="2"/>
  <c r="Y294" i="2"/>
  <c r="K54" i="2"/>
  <c r="E54" i="2"/>
  <c r="H38" i="5"/>
  <c r="K32" i="5"/>
  <c r="T169" i="2"/>
  <c r="S169" i="2"/>
  <c r="E86" i="2"/>
  <c r="K36" i="5"/>
  <c r="J134" i="2"/>
  <c r="N134" i="2"/>
  <c r="M134" i="2"/>
  <c r="K24" i="5"/>
  <c r="K16" i="5"/>
  <c r="K10" i="5"/>
  <c r="K12" i="5"/>
  <c r="S86" i="2"/>
  <c r="T86" i="2"/>
  <c r="L86" i="2"/>
  <c r="K86" i="2"/>
  <c r="K6" i="5"/>
  <c r="F86" i="2"/>
  <c r="L54" i="2"/>
  <c r="P54" i="2"/>
  <c r="O54" i="2"/>
  <c r="F54" i="2"/>
  <c r="K18" i="5"/>
  <c r="K22" i="5"/>
  <c r="K51" i="2"/>
  <c r="K55" i="2" s="1"/>
  <c r="J11" i="5"/>
  <c r="H11" i="5" s="1"/>
  <c r="I20" i="5"/>
  <c r="I14" i="5"/>
  <c r="G14" i="5" s="1"/>
  <c r="J14" i="5"/>
  <c r="H14" i="5" s="1"/>
  <c r="J20" i="5"/>
  <c r="H20" i="5" s="1"/>
  <c r="I11" i="5"/>
  <c r="G11" i="5" s="1"/>
  <c r="K7" i="5"/>
  <c r="H7" i="5"/>
  <c r="I31" i="5"/>
  <c r="G31" i="5" s="1"/>
  <c r="J31" i="5"/>
  <c r="K19" i="5"/>
  <c r="H19" i="5"/>
  <c r="H23" i="5"/>
  <c r="K23" i="5"/>
  <c r="K35" i="5"/>
  <c r="H35" i="5"/>
  <c r="K25" i="5"/>
  <c r="H25" i="5"/>
  <c r="H37" i="5"/>
  <c r="K37" i="5"/>
  <c r="K17" i="5"/>
  <c r="H13" i="5"/>
  <c r="K13" i="5"/>
  <c r="H39" i="5"/>
  <c r="K39" i="5"/>
  <c r="H33" i="5"/>
  <c r="K33" i="5"/>
  <c r="K30" i="5"/>
  <c r="CW84" i="9" l="1"/>
  <c r="CW83" i="9"/>
  <c r="CW82" i="9"/>
  <c r="CW81" i="9"/>
  <c r="CW80" i="9"/>
  <c r="CW79" i="9"/>
  <c r="CW78" i="9"/>
  <c r="CW77" i="9"/>
  <c r="CW76" i="9"/>
  <c r="CW75" i="9"/>
  <c r="CW74" i="9"/>
  <c r="CW73" i="9"/>
  <c r="CW72" i="9"/>
  <c r="CW71" i="9"/>
  <c r="CW70" i="9"/>
  <c r="CW69" i="9"/>
  <c r="CW68" i="9"/>
  <c r="CW67" i="9"/>
  <c r="CW66" i="9"/>
  <c r="CW65" i="9"/>
  <c r="CW64" i="9"/>
  <c r="CW63" i="9"/>
  <c r="CW62" i="9"/>
  <c r="CW61" i="9"/>
  <c r="CW60" i="9"/>
  <c r="CW59" i="9"/>
  <c r="CW58" i="9"/>
  <c r="CW57" i="9"/>
  <c r="CW56" i="9"/>
  <c r="CW55" i="9"/>
  <c r="CW54" i="9"/>
  <c r="CW53" i="9"/>
  <c r="CW52" i="9"/>
  <c r="CW51" i="9"/>
  <c r="CW50" i="9"/>
  <c r="CW49" i="9"/>
  <c r="CW48" i="9"/>
  <c r="CW47" i="9"/>
  <c r="CW46" i="9"/>
  <c r="CW45" i="9"/>
  <c r="CW44" i="9"/>
  <c r="CW43" i="9"/>
  <c r="CW42" i="9"/>
  <c r="CW41" i="9"/>
  <c r="CW40" i="9"/>
  <c r="CW39" i="9"/>
  <c r="CW38" i="9"/>
  <c r="CW37" i="9"/>
  <c r="CW36" i="9"/>
  <c r="CW35" i="9"/>
  <c r="CW34" i="9"/>
  <c r="CW33" i="9"/>
  <c r="CW32" i="9"/>
  <c r="CW31" i="9"/>
  <c r="CW30" i="9"/>
  <c r="CW29" i="9"/>
  <c r="CW28" i="9"/>
  <c r="CW27" i="9"/>
  <c r="CW26" i="9"/>
  <c r="CW25" i="9"/>
  <c r="CW24" i="9"/>
  <c r="CW23" i="9"/>
  <c r="CW22" i="9"/>
  <c r="CW21" i="9"/>
  <c r="CW20" i="9"/>
  <c r="CW19" i="9"/>
  <c r="CW18" i="9"/>
  <c r="CW17" i="9"/>
  <c r="CW16" i="9"/>
  <c r="CW15" i="9"/>
  <c r="CW14" i="9"/>
  <c r="CW13" i="9"/>
  <c r="CW12" i="9"/>
  <c r="CW11" i="9"/>
  <c r="CW10" i="9"/>
  <c r="CW9" i="9"/>
  <c r="CW8" i="9"/>
  <c r="CW7" i="9"/>
  <c r="CW6" i="9"/>
  <c r="CW5" i="9"/>
  <c r="CW4" i="9"/>
  <c r="CF4" i="8"/>
  <c r="CF61" i="8"/>
  <c r="CF41" i="8"/>
  <c r="CF31" i="8"/>
  <c r="CF21" i="8"/>
  <c r="CF11" i="8"/>
  <c r="CF35" i="8"/>
  <c r="CF71" i="8"/>
  <c r="CF60" i="8"/>
  <c r="CF40" i="8"/>
  <c r="CF30" i="8"/>
  <c r="CF20" i="8"/>
  <c r="CF10" i="8"/>
  <c r="CF49" i="8"/>
  <c r="CF79" i="8"/>
  <c r="CF39" i="8"/>
  <c r="CF80" i="8"/>
  <c r="CF59" i="8"/>
  <c r="CF19" i="8"/>
  <c r="CF70" i="8"/>
  <c r="CF69" i="8"/>
  <c r="CF29" i="8"/>
  <c r="CF78" i="8"/>
  <c r="CF58" i="8"/>
  <c r="CF38" i="8"/>
  <c r="CF83" i="8"/>
  <c r="CF73" i="8"/>
  <c r="CF63" i="8"/>
  <c r="CF53" i="8"/>
  <c r="CF43" i="8"/>
  <c r="CF33" i="8"/>
  <c r="CF23" i="8"/>
  <c r="CF13" i="8"/>
  <c r="CF51" i="8"/>
  <c r="CF8" i="8"/>
  <c r="CF17" i="8"/>
  <c r="CF48" i="8"/>
  <c r="CF28" i="8"/>
  <c r="CF77" i="8"/>
  <c r="CF67" i="8"/>
  <c r="CF57" i="8"/>
  <c r="CF47" i="8"/>
  <c r="CF37" i="8"/>
  <c r="CF27" i="8"/>
  <c r="CF7" i="8"/>
  <c r="CF76" i="8"/>
  <c r="CF66" i="8"/>
  <c r="CF56" i="8"/>
  <c r="CF46" i="8"/>
  <c r="CF36" i="8"/>
  <c r="CF26" i="8"/>
  <c r="CF16" i="8"/>
  <c r="CF68" i="8"/>
  <c r="CF18" i="8"/>
  <c r="CF75" i="8"/>
  <c r="CF65" i="8"/>
  <c r="CF55" i="8"/>
  <c r="CF45" i="8"/>
  <c r="CF25" i="8"/>
  <c r="CF15" i="8"/>
  <c r="CF5" i="8"/>
  <c r="CF84" i="8"/>
  <c r="CF74" i="8"/>
  <c r="CF64" i="8"/>
  <c r="CF54" i="8"/>
  <c r="CF44" i="8"/>
  <c r="CF34" i="8"/>
  <c r="CF24" i="8"/>
  <c r="CF14" i="8"/>
  <c r="CF81" i="8"/>
  <c r="CF82" i="8"/>
  <c r="CF72" i="8"/>
  <c r="CF62" i="8"/>
  <c r="CF52" i="8"/>
  <c r="CF42" i="8"/>
  <c r="CF32" i="8"/>
  <c r="CF22" i="8"/>
  <c r="CF12" i="8"/>
  <c r="CF50" i="8"/>
  <c r="CF9" i="8"/>
  <c r="CF6" i="8"/>
  <c r="BI84" i="8"/>
  <c r="BI83" i="8"/>
  <c r="BI82" i="8"/>
  <c r="BI81" i="8"/>
  <c r="BI80" i="8"/>
  <c r="BI79" i="8"/>
  <c r="BI78" i="8"/>
  <c r="BI77" i="8"/>
  <c r="BI76" i="8"/>
  <c r="BI75" i="8"/>
  <c r="BI74" i="8"/>
  <c r="BI73" i="8"/>
  <c r="BI72" i="8"/>
  <c r="BI71" i="8"/>
  <c r="BI70" i="8"/>
  <c r="BI69" i="8"/>
  <c r="BI68" i="8"/>
  <c r="BI67" i="8"/>
  <c r="BI66" i="8"/>
  <c r="BI65" i="8"/>
  <c r="BI64" i="8"/>
  <c r="BI63" i="8"/>
  <c r="BI62" i="8"/>
  <c r="BI61" i="8"/>
  <c r="BI60" i="8"/>
  <c r="BI59" i="8"/>
  <c r="BI58" i="8"/>
  <c r="BI57" i="8"/>
  <c r="BI56" i="8"/>
  <c r="BI55" i="8"/>
  <c r="BI54" i="8"/>
  <c r="BI53" i="8"/>
  <c r="BI52" i="8"/>
  <c r="BI51" i="8"/>
  <c r="BI50" i="8"/>
  <c r="BI49" i="8"/>
  <c r="BI48" i="8"/>
  <c r="BI47" i="8"/>
  <c r="BI46" i="8"/>
  <c r="BI45" i="8"/>
  <c r="BI44" i="8"/>
  <c r="BI43" i="8"/>
  <c r="BI42" i="8"/>
  <c r="BI41" i="8"/>
  <c r="BI40" i="8"/>
  <c r="BI39" i="8"/>
  <c r="BI38" i="8"/>
  <c r="BI37" i="8"/>
  <c r="BI36" i="8"/>
  <c r="BI35" i="8"/>
  <c r="BI34" i="8"/>
  <c r="BI33" i="8"/>
  <c r="BI32" i="8"/>
  <c r="BI31" i="8"/>
  <c r="BI30" i="8"/>
  <c r="BI29" i="8"/>
  <c r="BI28" i="8"/>
  <c r="BI27" i="8"/>
  <c r="BI26" i="8"/>
  <c r="BI25" i="8"/>
  <c r="BI24" i="8"/>
  <c r="BI23" i="8"/>
  <c r="BI22" i="8"/>
  <c r="BI21" i="8"/>
  <c r="BI20" i="8"/>
  <c r="BI19" i="8"/>
  <c r="BI18" i="8"/>
  <c r="BI17" i="8"/>
  <c r="BI16" i="8"/>
  <c r="BI15" i="8"/>
  <c r="BI14" i="8"/>
  <c r="BI13" i="8"/>
  <c r="BI12" i="8"/>
  <c r="BI11" i="8"/>
  <c r="BI10" i="8"/>
  <c r="BI9" i="8"/>
  <c r="BI8" i="8"/>
  <c r="BI7" i="8"/>
  <c r="BI5" i="8"/>
  <c r="BI6" i="8"/>
  <c r="W54" i="2"/>
  <c r="Y274" i="2"/>
  <c r="AG214" i="2"/>
  <c r="AF214" i="2"/>
  <c r="Y273" i="2"/>
  <c r="Y133" i="2"/>
  <c r="AF169" i="2"/>
  <c r="AG169" i="2"/>
  <c r="X134" i="2"/>
  <c r="W134" i="2"/>
  <c r="G20" i="5"/>
  <c r="X86" i="2"/>
  <c r="W86" i="2"/>
  <c r="I4" i="5" s="1"/>
  <c r="X54" i="2"/>
  <c r="I51" i="2"/>
  <c r="I55" i="2" s="1"/>
  <c r="E51" i="2"/>
  <c r="K83" i="2"/>
  <c r="L55" i="2"/>
  <c r="O51" i="2"/>
  <c r="S166" i="2"/>
  <c r="E166" i="2"/>
  <c r="I166" i="2"/>
  <c r="I83" i="2"/>
  <c r="I87" i="2" s="1"/>
  <c r="U211" i="2"/>
  <c r="I211" i="2"/>
  <c r="O211" i="2"/>
  <c r="E83" i="2"/>
  <c r="S83" i="2"/>
  <c r="K211" i="2"/>
  <c r="K20" i="5"/>
  <c r="K14" i="5"/>
  <c r="K11" i="5"/>
  <c r="H31" i="5"/>
  <c r="K31" i="5"/>
  <c r="F55" i="2" l="1"/>
  <c r="E55" i="2"/>
  <c r="G4" i="5"/>
  <c r="G47" i="5" s="1"/>
  <c r="I47" i="5"/>
  <c r="K215" i="2"/>
  <c r="L215" i="2"/>
  <c r="O215" i="2"/>
  <c r="P215" i="2"/>
  <c r="I215" i="2"/>
  <c r="J215" i="2"/>
  <c r="U215" i="2"/>
  <c r="V215" i="2"/>
  <c r="AH214" i="2"/>
  <c r="AH169" i="2"/>
  <c r="F170" i="2"/>
  <c r="E170" i="2"/>
  <c r="Y54" i="2"/>
  <c r="Y134" i="2"/>
  <c r="Y86" i="2"/>
  <c r="J4" i="5"/>
  <c r="J170" i="2"/>
  <c r="I170" i="2"/>
  <c r="T170" i="2"/>
  <c r="S170" i="2"/>
  <c r="J55" i="2"/>
  <c r="F87" i="2"/>
  <c r="E87" i="2"/>
  <c r="L87" i="2"/>
  <c r="K87" i="2"/>
  <c r="J15" i="5"/>
  <c r="H15" i="5" s="1"/>
  <c r="P55" i="2"/>
  <c r="O55" i="2"/>
  <c r="J87" i="2"/>
  <c r="T87" i="2"/>
  <c r="S87" i="2"/>
  <c r="I15" i="5"/>
  <c r="G15" i="5" s="1"/>
  <c r="I21" i="5"/>
  <c r="G21" i="5" s="1"/>
  <c r="J21" i="5"/>
  <c r="H21" i="5" s="1"/>
  <c r="AG215" i="2" l="1"/>
  <c r="AF215" i="2"/>
  <c r="AG170" i="2"/>
  <c r="AF170" i="2"/>
  <c r="W55" i="2"/>
  <c r="X55" i="2"/>
  <c r="H4" i="5"/>
  <c r="K4" i="5"/>
  <c r="W87" i="2"/>
  <c r="I5" i="5" s="1"/>
  <c r="I48" i="5" s="1"/>
  <c r="X87" i="2"/>
  <c r="K15" i="5"/>
  <c r="K21" i="5"/>
  <c r="AH215" i="2" l="1"/>
  <c r="Y55" i="2"/>
  <c r="G5" i="5"/>
  <c r="G48" i="5" s="1"/>
  <c r="AH170" i="2"/>
  <c r="Y87" i="2"/>
  <c r="J5" i="5"/>
  <c r="H5" i="5" l="1"/>
  <c r="K5" i="5"/>
  <c r="E41" i="2"/>
</calcChain>
</file>

<file path=xl/sharedStrings.xml><?xml version="1.0" encoding="utf-8"?>
<sst xmlns="http://schemas.openxmlformats.org/spreadsheetml/2006/main" count="2054" uniqueCount="542">
  <si>
    <t>AUTHORS</t>
  </si>
  <si>
    <t>CREATION DATE</t>
  </si>
  <si>
    <t>AIM</t>
  </si>
  <si>
    <t>This work reviewed several lifetime physiological models  extracted from existing lifetime PBK models (Stand: June 2023). The work has been realised in the task  6.2.2 of PARC.</t>
  </si>
  <si>
    <t>DESCRIPTION OF THE SHEETS</t>
  </si>
  <si>
    <t>READ ME</t>
  </si>
  <si>
    <t>Data input by the user to simulate age-specific organ volumes</t>
  </si>
  <si>
    <t xml:space="preserve">-&gt; If the user does not want to add a specific body weight and body height: Age as input is needed to calculate body weight and body height as default values (see EQUATIONS). </t>
  </si>
  <si>
    <t xml:space="preserve">-&gt; If the user wants to add a specific body weight and body height: the user can do this for one specific gender (the input for the oppostite gender are default values). </t>
  </si>
  <si>
    <t>EQUATIONS</t>
  </si>
  <si>
    <t>Description of all the physiological lifetime equations reviewed in this study</t>
  </si>
  <si>
    <t>-&gt; The equations were organised by biological matrix.</t>
  </si>
  <si>
    <t>-&gt; The units of the parameters were added in the equations.</t>
  </si>
  <si>
    <t>-&gt; Explainations were added if the equation gave no-coherent results (added in red)</t>
  </si>
  <si>
    <t>-&gt; The equations highlighted in grey cells are different from the original article to have coherent values</t>
  </si>
  <si>
    <t>RESULTS_AGE</t>
  </si>
  <si>
    <t>Calculation all the equations for all the models</t>
  </si>
  <si>
    <t>-&gt; The results depend of the data imputed in the sheet READ ME</t>
  </si>
  <si>
    <t>-&gt; The results are organised by biological matrices</t>
  </si>
  <si>
    <t>-&gt; Statistical results are described when the results depend of the body surface area</t>
  </si>
  <si>
    <t>SUMMARY AGE SPECIFIC VOLUMES</t>
  </si>
  <si>
    <t xml:space="preserve">Summary tables of outputs for both genders at a speicfic age as following: </t>
  </si>
  <si>
    <t>-&gt; Summary of all the results for a specific-age (or specific bodyweight and height)</t>
  </si>
  <si>
    <t>-&gt; Results of all the equations for each year of life and each gender</t>
  </si>
  <si>
    <t>-&gt; Mean and standard deviation and variability of the absolute volumes of each biological matrix,</t>
  </si>
  <si>
    <t>SOURCES</t>
  </si>
  <si>
    <t>All the literature sources of the equations were provided in this sheet.</t>
  </si>
  <si>
    <t>INPUT BY THE USER</t>
  </si>
  <si>
    <t>Choose the age of individuals (in years)</t>
  </si>
  <si>
    <t>(Age between 0 to 80 years)</t>
  </si>
  <si>
    <t>Will you add a specific bodyweight in kg?</t>
  </si>
  <si>
    <t>NO</t>
  </si>
  <si>
    <t>Choose a gender</t>
  </si>
  <si>
    <t>M</t>
  </si>
  <si>
    <t>Add a body weight in kg</t>
  </si>
  <si>
    <t>Add body height in cm</t>
  </si>
  <si>
    <t>Organ</t>
  </si>
  <si>
    <t>Model</t>
  </si>
  <si>
    <t>Equation for male</t>
  </si>
  <si>
    <t>Equation for female</t>
  </si>
  <si>
    <t>Original sources</t>
  </si>
  <si>
    <t>Body weight</t>
  </si>
  <si>
    <t>Gastellu et al. (2024)</t>
  </si>
  <si>
    <r>
      <rPr>
        <b/>
        <sz val="12"/>
        <color rgb="FF000000"/>
        <rFont val="Calibri"/>
      </rPr>
      <t>BW</t>
    </r>
    <r>
      <rPr>
        <sz val="12"/>
        <color rgb="FF000000"/>
        <rFont val="Calibri"/>
      </rPr>
      <t xml:space="preserve"> =3.938425 + 7.518199e-01* Age (month) - 2.023793e-02 x Age(month)^2 + 2.921682e-04 * Age(month)^3 - 2.06762e-06 x Age(month)^4 + 8.469e-09 x Age(month)^5 - 2.188427e-11 x Age(month)^6 + 3.699776e-14 * Age(month)^7 - 4.099077e-17 x Age(month)^8 + 2.874804e-20 x Age(month)^9 - 1.159732e-23 x Age(month)^10 + 2.052602z-27 x Age(month)^11</t>
    </r>
  </si>
  <si>
    <r>
      <rPr>
        <b/>
        <sz val="12"/>
        <color rgb="FF000000"/>
        <rFont val="Calibri"/>
      </rPr>
      <t>BW =</t>
    </r>
    <r>
      <rPr>
        <sz val="12"/>
        <color rgb="FF000000"/>
        <rFont val="Calibri"/>
      </rPr>
      <t>3.932403 + 6.866462e-01 x Age(month) - 1.949911e-02 x Age(month)^2 + 3.1311e-04 x Age(month)^3 - 2.466654e-06 x Age(month)^4 + 1.113217e-08 x Age(month)^5 - 3.131402e-11 x Age(month)^6 + 5.693737e-14 x Age(month)^7 - 6.706947e-17 x Age(month)^8 + 4.947858e-20 x Age(month)^9 - 2.079251e-23 x Age(month)^10 + 3.800367e-27 x Age(month)^11</t>
    </r>
  </si>
  <si>
    <t>Anses (2017)</t>
  </si>
  <si>
    <t>Body height</t>
  </si>
  <si>
    <t>Fitted equation</t>
  </si>
  <si>
    <r>
      <rPr>
        <b/>
        <sz val="12"/>
        <color rgb="FF000000"/>
        <rFont val="Calibri"/>
      </rPr>
      <t>HT</t>
    </r>
    <r>
      <rPr>
        <sz val="12"/>
        <color rgb="FF000000"/>
        <rFont val="Calibri"/>
      </rPr>
      <t xml:space="preserve"> = 64.35 + 8.146e-01 x Age(month) - 7.474e-04 x Age(month)^2 - 6.322e-06 x Age(month)^3 + 1.903e-08 x Age(month)^4 - 1.995e-11 x Age(month)^5 + 7.297e-15 x Age(month)^6</t>
    </r>
  </si>
  <si>
    <r>
      <rPr>
        <b/>
        <sz val="12"/>
        <color rgb="FF000000"/>
        <rFont val="Calibri"/>
      </rPr>
      <t>HT =</t>
    </r>
    <r>
      <rPr>
        <sz val="12"/>
        <color rgb="FF000000"/>
        <rFont val="Calibri"/>
      </rPr>
      <t xml:space="preserve"> 57.63 + 1.083 x Age(month) - 3.679e-03 x Age(month)^2 + 4.633e-06 x Age(month)^3 - 4.226e-12 x Age(month)^5 + 2.302e-15 x Age(month)^6</t>
    </r>
  </si>
  <si>
    <t>Body Surface Area (m²)</t>
  </si>
  <si>
    <t>Haddad et al. (2006)</t>
  </si>
  <si>
    <r>
      <rPr>
        <b/>
        <sz val="12"/>
        <color rgb="FF000000"/>
        <rFont val="Calibri"/>
        <family val="2"/>
      </rPr>
      <t xml:space="preserve">BSA = </t>
    </r>
    <r>
      <rPr>
        <sz val="12"/>
        <color rgb="FF000000"/>
        <rFont val="Calibri"/>
        <family val="2"/>
      </rPr>
      <t>(BW(kg)^0.5150 x HT(cm)^0.4220) x 234.9 / 10000</t>
    </r>
  </si>
  <si>
    <t>Gehan and George 1970</t>
  </si>
  <si>
    <t>Verner et al. (2008)</t>
  </si>
  <si>
    <t>NA</t>
  </si>
  <si>
    <r>
      <rPr>
        <b/>
        <sz val="12"/>
        <color rgb="FF000000"/>
        <rFont val="Calibri"/>
        <family val="2"/>
      </rPr>
      <t>BSA =</t>
    </r>
    <r>
      <rPr>
        <sz val="12"/>
        <color rgb="FF000000"/>
        <rFont val="Calibri"/>
        <family val="2"/>
      </rPr>
      <t xml:space="preserve"> BW(kg)^0.5150 x HT(cm)^0.422 x 0.02349</t>
    </r>
  </si>
  <si>
    <t>Wu et al. (2015)</t>
  </si>
  <si>
    <r>
      <rPr>
        <b/>
        <sz val="12"/>
        <rFont val="Calibri"/>
        <family val="2"/>
        <charset val="1"/>
      </rPr>
      <t>BSA =</t>
    </r>
    <r>
      <rPr>
        <sz val="12"/>
        <rFont val="Calibri"/>
        <family val="2"/>
        <charset val="1"/>
      </rPr>
      <t xml:space="preserve"> (BW(kg)</t>
    </r>
    <r>
      <rPr>
        <vertAlign val="superscript"/>
        <sz val="12"/>
        <rFont val="Calibri"/>
        <family val="2"/>
        <charset val="1"/>
      </rPr>
      <t>0.5150</t>
    </r>
    <r>
      <rPr>
        <sz val="12"/>
        <rFont val="Calibri"/>
        <family val="2"/>
        <charset val="1"/>
      </rPr>
      <t xml:space="preserve"> x HT(cm)</t>
    </r>
    <r>
      <rPr>
        <vertAlign val="superscript"/>
        <sz val="12"/>
        <rFont val="Calibri"/>
        <family val="2"/>
        <charset val="1"/>
      </rPr>
      <t>0.4220</t>
    </r>
    <r>
      <rPr>
        <sz val="12"/>
        <rFont val="Calibri"/>
        <family val="2"/>
        <charset val="1"/>
      </rPr>
      <t xml:space="preserve"> x 235) / 10000 </t>
    </r>
  </si>
  <si>
    <t>Ring et al. (2017)</t>
  </si>
  <si>
    <r>
      <rPr>
        <b/>
        <sz val="12"/>
        <color rgb="FF000000"/>
        <rFont val="Calibri"/>
        <family val="2"/>
      </rPr>
      <t>Age &lt; 18yrs : BSA =</t>
    </r>
    <r>
      <rPr>
        <sz val="12"/>
        <color rgb="FF000000"/>
        <rFont val="Calibri"/>
        <family val="2"/>
      </rPr>
      <t xml:space="preserve"> 0.024265 x BW(kg)^0.5378 x HT(cm)^0.3964
</t>
    </r>
    <r>
      <rPr>
        <b/>
        <sz val="12"/>
        <color rgb="FF000000"/>
        <rFont val="Calibri"/>
        <family val="2"/>
      </rPr>
      <t xml:space="preserve">Age ≥ 18yrs : BSA = </t>
    </r>
    <r>
      <rPr>
        <sz val="12"/>
        <color rgb="FF000000"/>
        <rFont val="Calibri"/>
        <family val="2"/>
      </rPr>
      <t>sqrt(BW(kg) x HT(cm)/3600)</t>
    </r>
  </si>
  <si>
    <t>Haycock 1978
Verbraecken et al. 2006</t>
  </si>
  <si>
    <t>Mallick et al. (2019)</t>
  </si>
  <si>
    <r>
      <rPr>
        <b/>
        <sz val="12"/>
        <rFont val="Calibri"/>
        <family val="2"/>
        <charset val="1"/>
      </rPr>
      <t>BSA =</t>
    </r>
    <r>
      <rPr>
        <sz val="12"/>
        <rFont val="Calibri"/>
        <family val="2"/>
        <charset val="1"/>
      </rPr>
      <t xml:space="preserve"> exp(-3.75 + 0.42 x ln(HT(cm)) + 0.52 x ln(BW(kg)) )</t>
    </r>
  </si>
  <si>
    <t>Pendse et al. (2020)</t>
  </si>
  <si>
    <t>Deepika et al. (2021)</t>
  </si>
  <si>
    <r>
      <rPr>
        <b/>
        <sz val="12"/>
        <color rgb="FF000000"/>
        <rFont val="Calibri"/>
        <family val="2"/>
      </rPr>
      <t>BSA =</t>
    </r>
    <r>
      <rPr>
        <sz val="12"/>
        <color rgb="FF000000"/>
        <rFont val="Calibri"/>
        <family val="2"/>
      </rPr>
      <t xml:space="preserve"> 0.007184 x BW(kg)^0.425 x HT(cm)^0.725</t>
    </r>
  </si>
  <si>
    <t>Du Bois and Du Bois 1989</t>
  </si>
  <si>
    <t>Cardiac output (in L/h)</t>
  </si>
  <si>
    <t>Price K. et al. (2003)</t>
  </si>
  <si>
    <r>
      <rPr>
        <b/>
        <sz val="12"/>
        <rFont val="Calibri"/>
        <family val="2"/>
        <charset val="1"/>
      </rPr>
      <t>Age &lt; 18yrs: Q =</t>
    </r>
    <r>
      <rPr>
        <sz val="12"/>
        <rFont val="Calibri"/>
        <family val="2"/>
        <charset val="1"/>
      </rPr>
      <t xml:space="preserve"> 0.012 x Age(y)³ - 1.2144 x Age(y)² + 40.324 x Age(y) + 44.414
</t>
    </r>
    <r>
      <rPr>
        <b/>
        <sz val="12"/>
        <rFont val="Calibri"/>
        <family val="2"/>
        <charset val="1"/>
      </rPr>
      <t>Age ≥ 18yrs: Q =</t>
    </r>
    <r>
      <rPr>
        <sz val="12"/>
        <rFont val="Calibri"/>
        <family val="2"/>
        <charset val="1"/>
      </rPr>
      <t xml:space="preserve"> 325.7924</t>
    </r>
  </si>
  <si>
    <t>Wu et al. 2015</t>
  </si>
  <si>
    <r>
      <rPr>
        <b/>
        <sz val="12"/>
        <color rgb="FF000000"/>
        <rFont val="Calibri"/>
        <family val="2"/>
      </rPr>
      <t>Q =</t>
    </r>
    <r>
      <rPr>
        <sz val="12"/>
        <color rgb="FF000000"/>
        <rFont val="Calibri"/>
        <family val="2"/>
      </rPr>
      <t xml:space="preserve"> (0.2519 x BW(kg)^0.7609) * 60</t>
    </r>
  </si>
  <si>
    <r>
      <rPr>
        <b/>
        <sz val="12"/>
        <color rgb="FF000000"/>
        <rFont val="Calibri"/>
        <family val="2"/>
      </rPr>
      <t>Q =</t>
    </r>
    <r>
      <rPr>
        <sz val="12"/>
        <color rgb="FF000000"/>
        <rFont val="Calibri"/>
        <family val="2"/>
      </rPr>
      <t xml:space="preserve"> (0.2508 x BW(kg)^0.7815) * 60</t>
    </r>
  </si>
  <si>
    <t>Price, P.S. et al. 2003</t>
  </si>
  <si>
    <r>
      <rPr>
        <b/>
        <sz val="12"/>
        <color rgb="FF000000"/>
        <rFont val="Calibri"/>
      </rPr>
      <t>Q =</t>
    </r>
    <r>
      <rPr>
        <sz val="12"/>
        <color rgb="FF000000"/>
        <rFont val="Calibri"/>
      </rPr>
      <t xml:space="preserve"> 15.048 x BW(kg)^</t>
    </r>
    <r>
      <rPr>
        <vertAlign val="superscript"/>
        <sz val="12"/>
        <color rgb="FF000000"/>
        <rFont val="Calibri"/>
      </rPr>
      <t>0.7609</t>
    </r>
  </si>
  <si>
    <t>Haddad et al. 2006</t>
  </si>
  <si>
    <t>Beaudouin et al. (2010)</t>
  </si>
  <si>
    <r>
      <rPr>
        <b/>
        <sz val="12"/>
        <rFont val="Calibri"/>
        <family val="2"/>
        <charset val="1"/>
      </rPr>
      <t>Age ≤ 33.37 : Q =</t>
    </r>
    <r>
      <rPr>
        <sz val="12"/>
        <rFont val="Calibri"/>
        <family val="2"/>
        <charset val="1"/>
      </rPr>
      <t xml:space="preserve"> (6.642 + (0.6 – 6.642) x exp(-0.1323 x Age(y))) x 60
</t>
    </r>
    <r>
      <rPr>
        <b/>
        <sz val="12"/>
        <rFont val="Calibri"/>
        <family val="2"/>
        <charset val="1"/>
      </rPr>
      <t>Age &gt; 33.37 : Q =</t>
    </r>
    <r>
      <rPr>
        <sz val="12"/>
        <rFont val="Calibri"/>
        <family val="2"/>
        <charset val="1"/>
      </rPr>
      <t xml:space="preserve"> (-0.000895 x Age(y)² + 0.0607 x Age(y) + 5.54) x 60</t>
    </r>
  </si>
  <si>
    <r>
      <rPr>
        <b/>
        <sz val="12"/>
        <rFont val="Calibri"/>
        <family val="2"/>
        <charset val="1"/>
      </rPr>
      <t>Age ≤ 16.027 : Q =</t>
    </r>
    <r>
      <rPr>
        <sz val="12"/>
        <rFont val="Calibri"/>
        <family val="2"/>
        <charset val="1"/>
      </rPr>
      <t xml:space="preserve"> (7.734 + (0.6 – 7.734) x exp(-0.09747 x Age(y))) x 60
</t>
    </r>
    <r>
      <rPr>
        <b/>
        <sz val="12"/>
        <rFont val="Calibri"/>
        <family val="2"/>
        <charset val="1"/>
      </rPr>
      <t>Age &gt; 16.027 : Q =</t>
    </r>
    <r>
      <rPr>
        <sz val="12"/>
        <rFont val="Calibri"/>
        <family val="2"/>
        <charset val="1"/>
      </rPr>
      <t xml:space="preserve"> (0.000473 x Age(y)² – 0.0782 x Age(y) + 7.37) x 60</t>
    </r>
  </si>
  <si>
    <t>ICRP, 2002
Luisada et al. 1980</t>
  </si>
  <si>
    <r>
      <rPr>
        <b/>
        <sz val="12"/>
        <rFont val="Calibri"/>
        <family val="2"/>
        <charset val="1"/>
      </rPr>
      <t>Q =</t>
    </r>
    <r>
      <rPr>
        <sz val="12"/>
        <rFont val="Calibri"/>
        <family val="2"/>
        <charset val="1"/>
      </rPr>
      <t xml:space="preserve"> 3.5 * BSA(m²) * 60</t>
    </r>
  </si>
  <si>
    <t>Cowles et al. 1971</t>
  </si>
  <si>
    <r>
      <rPr>
        <b/>
        <sz val="12"/>
        <rFont val="Calibri"/>
        <family val="2"/>
        <charset val="1"/>
      </rPr>
      <t xml:space="preserve">Q = </t>
    </r>
    <r>
      <rPr>
        <sz val="12"/>
        <rFont val="Calibri"/>
        <family val="2"/>
        <charset val="1"/>
      </rPr>
      <t>6.48370 – 1.59948 x Age(y) + 214.68572 x BSA(m²)</t>
    </r>
  </si>
  <si>
    <r>
      <rPr>
        <b/>
        <sz val="12"/>
        <rFont val="Calibri"/>
        <family val="2"/>
        <charset val="1"/>
      </rPr>
      <t xml:space="preserve">Q = </t>
    </r>
    <r>
      <rPr>
        <sz val="12"/>
        <rFont val="Calibri"/>
        <family val="2"/>
        <charset val="1"/>
      </rPr>
      <t>5.528076 – 2.834486 x Age(y) + 0.012591 x Age(y)² + 204.262351 x BSA(m²) + 19.274290 x BSA(m²)²</t>
    </r>
  </si>
  <si>
    <t>Mallick et al. 2020
Stader et al. 2019</t>
  </si>
  <si>
    <t>Hematocrit</t>
  </si>
  <si>
    <r>
      <rPr>
        <b/>
        <sz val="12"/>
        <rFont val="Calibri"/>
        <family val="2"/>
        <charset val="1"/>
      </rPr>
      <t xml:space="preserve">Age &lt; 1 yrs: HCT = </t>
    </r>
    <r>
      <rPr>
        <sz val="12"/>
        <rFont val="Calibri"/>
        <family val="2"/>
        <charset val="1"/>
      </rPr>
      <t xml:space="preserve">0.355109
</t>
    </r>
    <r>
      <rPr>
        <b/>
        <sz val="12"/>
        <rFont val="Calibri"/>
        <family val="2"/>
        <charset val="1"/>
      </rPr>
      <t>Age ≥ 1 yrs: HCT =</t>
    </r>
    <r>
      <rPr>
        <sz val="12"/>
        <rFont val="Calibri"/>
        <family val="2"/>
        <charset val="1"/>
      </rPr>
      <t xml:space="preserve"> 0.3475 + (0.07 x Age(y)) / (8.2 + Age(y))</t>
    </r>
  </si>
  <si>
    <t>Yip et al. 1984</t>
  </si>
  <si>
    <r>
      <rPr>
        <b/>
        <sz val="12"/>
        <rFont val="Calibri"/>
        <family val="2"/>
        <charset val="1"/>
      </rPr>
      <t xml:space="preserve">Age &lt; 2 yrs: HCT = </t>
    </r>
    <r>
      <rPr>
        <sz val="12"/>
        <rFont val="Calibri"/>
        <family val="2"/>
        <charset val="1"/>
      </rPr>
      <t xml:space="preserve">0.359
</t>
    </r>
    <r>
      <rPr>
        <b/>
        <sz val="12"/>
        <rFont val="Calibri"/>
        <family val="2"/>
        <charset val="1"/>
      </rPr>
      <t>Age ≥ 2 yrs: HCT =</t>
    </r>
    <r>
      <rPr>
        <sz val="12"/>
        <rFont val="Calibri"/>
        <family val="2"/>
        <charset val="1"/>
      </rPr>
      <t xml:space="preserve"> (1.12815e⁻⁶ x Age(y)³) - (1.72362e⁻⁴ x Age(y)²) + (8.15264e⁻³ x Age(y)) + 0.327363 </t>
    </r>
  </si>
  <si>
    <t>Sarigiannis et al. (2020)</t>
  </si>
  <si>
    <r>
      <rPr>
        <b/>
        <sz val="12"/>
        <color rgb="FF000000"/>
        <rFont val="Calibri"/>
        <family val="2"/>
      </rPr>
      <t>Age &lt; 18yrs : HCT =</t>
    </r>
    <r>
      <rPr>
        <sz val="12"/>
        <color rgb="FF000000"/>
        <rFont val="Calibri"/>
        <family val="2"/>
      </rPr>
      <t xml:space="preserve"> (-1.00e⁻¹ x Age(h)^9.66e-12 – 1.00e⁻¹ x Age(h)^1.55e-6 + 5.50e⁻⁷ x Age(h) + 5.80e⁻¹ )
</t>
    </r>
    <r>
      <rPr>
        <b/>
        <sz val="12"/>
        <color rgb="FF000000"/>
        <rFont val="Calibri"/>
        <family val="2"/>
      </rPr>
      <t xml:space="preserve">Age ≥ 18yrs : HCT = </t>
    </r>
    <r>
      <rPr>
        <sz val="12"/>
        <color rgb="FF000000"/>
        <rFont val="Calibri"/>
        <family val="2"/>
      </rPr>
      <t>0.47</t>
    </r>
  </si>
  <si>
    <t>ICRP 2002</t>
  </si>
  <si>
    <t>Blood (in L)</t>
  </si>
  <si>
    <t>Haddad et al. (2001)</t>
  </si>
  <si>
    <r>
      <rPr>
        <b/>
        <sz val="12"/>
        <rFont val="Calibri"/>
        <family val="2"/>
        <charset val="1"/>
      </rPr>
      <t>Age &lt;  18 yrs: Vblood =</t>
    </r>
    <r>
      <rPr>
        <sz val="12"/>
        <rFont val="Calibri"/>
        <family val="2"/>
        <charset val="1"/>
      </rPr>
      <t xml:space="preserve"> (-0.0623 x Age(y)⁵ + 2.4425 x Age(y)⁴ - 31.37 x Age(y)³ + 149.98 x Age(y)² + 31.305 x Age(y) + 393.7) / 1000
</t>
    </r>
    <r>
      <rPr>
        <b/>
        <sz val="12"/>
        <rFont val="Calibri"/>
        <family val="2"/>
        <charset val="1"/>
      </rPr>
      <t>Age ≥ 18 yrs: Vblood =</t>
    </r>
    <r>
      <rPr>
        <sz val="12"/>
        <rFont val="Calibri"/>
        <family val="2"/>
        <charset val="1"/>
      </rPr>
      <t xml:space="preserve"> 5.285</t>
    </r>
  </si>
  <si>
    <r>
      <rPr>
        <b/>
        <sz val="12"/>
        <rFont val="Calibri"/>
        <family val="2"/>
        <charset val="1"/>
      </rPr>
      <t>Age &lt;  18 yrs: Vblood =</t>
    </r>
    <r>
      <rPr>
        <sz val="12"/>
        <rFont val="Calibri"/>
        <family val="2"/>
        <charset val="1"/>
      </rPr>
      <t xml:space="preserve"> (0.0018 x Age(y)⁵ + 0.0959 x Age(y)⁴ – 4.4055 x Age(y)³ + 45.442 x Age(y)² + 82.808 x Age(y) + 292.26) / 1000
</t>
    </r>
    <r>
      <rPr>
        <b/>
        <sz val="12"/>
        <rFont val="Calibri"/>
        <family val="2"/>
        <charset val="1"/>
      </rPr>
      <t>Age ≥ 18 yrs: Vblood =</t>
    </r>
    <r>
      <rPr>
        <sz val="12"/>
        <rFont val="Calibri"/>
        <family val="2"/>
        <charset val="1"/>
      </rPr>
      <t xml:space="preserve"> 4.28</t>
    </r>
  </si>
  <si>
    <t>Morse et al. 1947
Altman and Dittmer 1962
ICRP 1975</t>
  </si>
  <si>
    <r>
      <rPr>
        <b/>
        <sz val="12"/>
        <color rgb="FF000000"/>
        <rFont val="Calibri"/>
      </rPr>
      <t>Age &lt;  18 yrs: Vblood =</t>
    </r>
    <r>
      <rPr>
        <sz val="12"/>
        <color rgb="FF000000"/>
        <rFont val="Calibri"/>
      </rPr>
      <t xml:space="preserve"> (-0.0623 x Age(y)⁵ + 2.4425 x Age(y)⁴ - 31.37 x Age(y)³ + 149.98 x Age(y)² + 31.305 x Age(y) + 393.7) / 1000
</t>
    </r>
    <r>
      <rPr>
        <b/>
        <sz val="12"/>
        <color rgb="FF000000"/>
        <rFont val="Calibri"/>
      </rPr>
      <t>Age ≥ 18 yrs: Vblood =</t>
    </r>
    <r>
      <rPr>
        <sz val="12"/>
        <color rgb="FF000000"/>
        <rFont val="Calibri"/>
      </rPr>
      <t xml:space="preserve"> 5.285</t>
    </r>
  </si>
  <si>
    <t>Haddad et al. 2001</t>
  </si>
  <si>
    <r>
      <rPr>
        <b/>
        <sz val="12"/>
        <rFont val="Calibri"/>
        <family val="2"/>
        <charset val="1"/>
      </rPr>
      <t>Age ≤ 1yrs : Vblood =</t>
    </r>
    <r>
      <rPr>
        <sz val="12"/>
        <rFont val="Calibri"/>
        <family val="2"/>
        <charset val="1"/>
      </rPr>
      <t xml:space="preserve"> (-0.0273 x Age(y) + 0.0771) x BW(kg)
</t>
    </r>
    <r>
      <rPr>
        <b/>
        <sz val="12"/>
        <rFont val="Calibri"/>
        <family val="2"/>
        <charset val="1"/>
      </rPr>
      <t>Age &gt; 1yrs : Vblood =</t>
    </r>
    <r>
      <rPr>
        <sz val="12"/>
        <rFont val="Calibri"/>
        <family val="2"/>
        <charset val="1"/>
      </rPr>
      <t xml:space="preserve"> (0.0761 + (0.0289 – 0.0761) x exp(-0.592 x Age(y))) x BW(kg)</t>
    </r>
  </si>
  <si>
    <r>
      <rPr>
        <b/>
        <sz val="12"/>
        <rFont val="Calibri"/>
        <family val="2"/>
        <charset val="1"/>
      </rPr>
      <t>Age ≤ 1yrs : Vblood =</t>
    </r>
    <r>
      <rPr>
        <sz val="12"/>
        <rFont val="Calibri"/>
        <family val="2"/>
        <charset val="1"/>
      </rPr>
      <t xml:space="preserve"> (-0.0273 x Age(y) + 0.0771) x BW(kg)
</t>
    </r>
    <r>
      <rPr>
        <b/>
        <sz val="12"/>
        <rFont val="Calibri"/>
        <family val="2"/>
        <charset val="1"/>
      </rPr>
      <t>Age &gt; 1 and &lt; 14.019723yrs : Vblood =</t>
    </r>
    <r>
      <rPr>
        <sz val="12"/>
        <rFont val="Calibri"/>
        <family val="2"/>
        <charset val="1"/>
      </rPr>
      <t xml:space="preserve"> (3.28e⁻⁵ x Age(y)³ – 1.21e⁻³ x Age(y)² + 1.24e⁻² x Age(y) + 3.86e⁻²) x BW(kg)
</t>
    </r>
    <r>
      <rPr>
        <b/>
        <sz val="12"/>
        <rFont val="Calibri"/>
        <family val="2"/>
        <charset val="1"/>
      </rPr>
      <t>Age ≥ 14.019723yrs : Vblood =</t>
    </r>
    <r>
      <rPr>
        <sz val="12"/>
        <rFont val="Calibri"/>
        <family val="2"/>
        <charset val="1"/>
      </rPr>
      <t xml:space="preserve"> 0.065 x BW(kg)</t>
    </r>
  </si>
  <si>
    <t>Smith et al. (2014)</t>
  </si>
  <si>
    <r>
      <rPr>
        <b/>
        <sz val="12"/>
        <rFont val="Calibri"/>
        <family val="2"/>
        <charset val="1"/>
      </rPr>
      <t>Vblood =</t>
    </r>
    <r>
      <rPr>
        <sz val="12"/>
        <rFont val="Calibri"/>
        <family val="2"/>
        <charset val="1"/>
      </rPr>
      <t xml:space="preserve"> (8.970e⁻² – 3.5e⁻⁷ x (BW(g) x 1000) + 6.54e⁻¹³ x (BW(g) x 1000)²) x BW(kg)</t>
    </r>
  </si>
  <si>
    <t>Young et al. 2009</t>
  </si>
  <si>
    <r>
      <rPr>
        <b/>
        <sz val="12"/>
        <color rgb="FF000000"/>
        <rFont val="Calibri"/>
      </rPr>
      <t xml:space="preserve">Vblood = </t>
    </r>
    <r>
      <rPr>
        <sz val="12"/>
        <color rgb="FF000000"/>
        <rFont val="Calibri"/>
      </rPr>
      <t xml:space="preserve">(10^(1.2082 × log10(BSA) + 3.2869) /1000 </t>
    </r>
  </si>
  <si>
    <t>Cropp 1971</t>
  </si>
  <si>
    <r>
      <rPr>
        <b/>
        <sz val="12"/>
        <rFont val="Calibri"/>
        <family val="2"/>
        <charset val="1"/>
      </rPr>
      <t>Vblood =</t>
    </r>
    <r>
      <rPr>
        <sz val="12"/>
        <rFont val="Calibri"/>
        <family val="2"/>
        <charset val="1"/>
      </rPr>
      <t xml:space="preserve"> (3.33 x BSA(m²) – 0.81) / 1.06
Correction for small BSA trigering negative values</t>
    </r>
  </si>
  <si>
    <r>
      <rPr>
        <b/>
        <sz val="12"/>
        <rFont val="Calibri"/>
        <family val="2"/>
        <charset val="1"/>
      </rPr>
      <t xml:space="preserve">Vblood = </t>
    </r>
    <r>
      <rPr>
        <sz val="12"/>
        <rFont val="Calibri"/>
        <family val="2"/>
        <charset val="1"/>
      </rPr>
      <t>(2.66 x BSA(m²) – 0.46) / 1.06
Correction for small BSA trigering negative values</t>
    </r>
  </si>
  <si>
    <t>Bosgra et al. 2012</t>
  </si>
  <si>
    <r>
      <rPr>
        <b/>
        <sz val="12"/>
        <color rgb="FF000000"/>
        <rFont val="Calibri"/>
      </rPr>
      <t>Vblood =</t>
    </r>
    <r>
      <rPr>
        <sz val="12"/>
        <color rgb="FF000000"/>
        <rFont val="Calibri"/>
      </rPr>
      <t xml:space="preserve"> 10 ^(1.2082 × log10(BSA) + 3.2869) / 1000</t>
    </r>
  </si>
  <si>
    <r>
      <rPr>
        <b/>
        <sz val="12"/>
        <color rgb="FF000000"/>
        <rFont val="Calibri"/>
      </rPr>
      <t xml:space="preserve">Age &lt; 18yrs : Vblood = </t>
    </r>
    <r>
      <rPr>
        <sz val="12"/>
        <color rgb="FF000000"/>
        <rFont val="Calibri"/>
      </rPr>
      <t xml:space="preserve">(1.15e⁻¹ x Age(h) – 1.10e⁻¹ x Age(h)^9.92e-1 + 1.33e²) / 500
</t>
    </r>
    <r>
      <rPr>
        <b/>
        <sz val="12"/>
        <color rgb="FF000000"/>
        <rFont val="Calibri"/>
      </rPr>
      <t>Age ≥ 18yrs : Vblood = 5.02</t>
    </r>
  </si>
  <si>
    <r>
      <rPr>
        <b/>
        <sz val="12"/>
        <color rgb="FF000000"/>
        <rFont val="Calibri"/>
      </rPr>
      <t>Vblood =</t>
    </r>
    <r>
      <rPr>
        <sz val="12"/>
        <color rgb="FF000000"/>
        <rFont val="Calibri"/>
      </rPr>
      <t xml:space="preserve"> 10^(1.2082 × log10(BSA) + 3.2869) / 1000</t>
    </r>
  </si>
  <si>
    <t>Brain (in L)</t>
  </si>
  <si>
    <r>
      <rPr>
        <b/>
        <sz val="12"/>
        <rFont val="Calibri"/>
        <family val="2"/>
        <charset val="1"/>
      </rPr>
      <t xml:space="preserve">Age &lt; 18yrs : Vbrain = </t>
    </r>
    <r>
      <rPr>
        <sz val="12"/>
        <rFont val="Calibri"/>
        <family val="2"/>
        <charset val="1"/>
      </rPr>
      <t xml:space="preserve">10 x (Age(y) + 0.213) / (6.030 + 6.895 x Age(y))
</t>
    </r>
    <r>
      <rPr>
        <b/>
        <sz val="12"/>
        <rFont val="Calibri"/>
        <family val="2"/>
        <charset val="1"/>
      </rPr>
      <t>Age ≥ 18yrs : Vbrain =</t>
    </r>
    <r>
      <rPr>
        <sz val="12"/>
        <rFont val="Calibri"/>
        <family val="2"/>
        <charset val="1"/>
      </rPr>
      <t xml:space="preserve"> 1.40</t>
    </r>
  </si>
  <si>
    <r>
      <rPr>
        <b/>
        <sz val="12"/>
        <rFont val="Calibri"/>
        <family val="2"/>
        <charset val="1"/>
      </rPr>
      <t xml:space="preserve">Age &lt; 18yrs : Vbrain = </t>
    </r>
    <r>
      <rPr>
        <sz val="12"/>
        <rFont val="Calibri"/>
        <family val="2"/>
        <charset val="1"/>
      </rPr>
      <t xml:space="preserve">10 x (Age(y) + 0.226) / (6.521 + 7.514 x Age(y))
</t>
    </r>
    <r>
      <rPr>
        <b/>
        <sz val="12"/>
        <rFont val="Calibri"/>
        <family val="2"/>
        <charset val="1"/>
      </rPr>
      <t>Age ≥ 18yrs : Vbrain =</t>
    </r>
    <r>
      <rPr>
        <sz val="12"/>
        <rFont val="Calibri"/>
        <family val="2"/>
        <charset val="1"/>
      </rPr>
      <t xml:space="preserve"> 1.30</t>
    </r>
  </si>
  <si>
    <t>Altman and Dittmer 1962</t>
  </si>
  <si>
    <r>
      <rPr>
        <b/>
        <sz val="12"/>
        <color rgb="FF000000"/>
        <rFont val="Calibri"/>
      </rPr>
      <t xml:space="preserve">Age &lt; 18yrs : Vbrain = </t>
    </r>
    <r>
      <rPr>
        <sz val="12"/>
        <color rgb="FF000000"/>
        <rFont val="Calibri"/>
      </rPr>
      <t xml:space="preserve">10 x (Age(y) + 0.213) / (6.030 + 6.895 x Age(y))
</t>
    </r>
    <r>
      <rPr>
        <b/>
        <sz val="12"/>
        <color rgb="FF000000"/>
        <rFont val="Calibri"/>
      </rPr>
      <t>Age ≥ 18yrs : Vbrain =</t>
    </r>
    <r>
      <rPr>
        <sz val="12"/>
        <color rgb="FF000000"/>
        <rFont val="Calibri"/>
      </rPr>
      <t xml:space="preserve"> 1.40</t>
    </r>
  </si>
  <si>
    <r>
      <rPr>
        <b/>
        <sz val="12"/>
        <rFont val="Calibri"/>
        <family val="2"/>
        <charset val="1"/>
      </rPr>
      <t>Vbrain =</t>
    </r>
    <r>
      <rPr>
        <sz val="12"/>
        <rFont val="Calibri"/>
        <family val="2"/>
        <charset val="1"/>
      </rPr>
      <t xml:space="preserve"> 1.45 + (0.350 – 1.45) x exp(-0.440 x Age(y))</t>
    </r>
  </si>
  <si>
    <r>
      <rPr>
        <b/>
        <sz val="12"/>
        <rFont val="Calibri"/>
        <family val="2"/>
        <charset val="1"/>
      </rPr>
      <t>Vbrain =</t>
    </r>
    <r>
      <rPr>
        <sz val="12"/>
        <rFont val="Calibri"/>
        <family val="2"/>
        <charset val="1"/>
      </rPr>
      <t xml:space="preserve"> 1.30 + (0.347 – 1.30) x exp(-0.573 x Age(y))</t>
    </r>
  </si>
  <si>
    <r>
      <rPr>
        <b/>
        <sz val="12"/>
        <color rgb="FF000000"/>
        <rFont val="Calibri"/>
      </rPr>
      <t>Vbrain =</t>
    </r>
    <r>
      <rPr>
        <sz val="12"/>
        <color rgb="FF000000"/>
        <rFont val="Calibri"/>
      </rPr>
      <t xml:space="preserve"> (1.216e⁻¹ – 3.456e⁻⁶ x BW(g) + 4.354e⁻¹¹ x BW(g)² – 2.463e⁻¹⁶ x BW(g)³ + 5.132e⁻²² x BW(g)⁴) x Age(y)</t>
    </r>
  </si>
  <si>
    <t>ICRP 2002
Young et al. 2009</t>
  </si>
  <si>
    <r>
      <rPr>
        <b/>
        <sz val="12"/>
        <color rgb="FF000000"/>
        <rFont val="Calibri"/>
      </rPr>
      <t>Vbrain =</t>
    </r>
    <r>
      <rPr>
        <sz val="12"/>
        <color rgb="FF000000"/>
        <rFont val="Calibri"/>
      </rPr>
      <t xml:space="preserve"> (0.425 x ((3.68 – 2.68 x exp(-Age(y)/0.89)) x exp(-Age(y)/629))) / 1.03</t>
    </r>
  </si>
  <si>
    <r>
      <rPr>
        <b/>
        <sz val="12"/>
        <rFont val="Calibri"/>
        <family val="2"/>
        <charset val="1"/>
      </rPr>
      <t>Vbrain =</t>
    </r>
    <r>
      <rPr>
        <sz val="12"/>
        <rFont val="Calibri"/>
        <family val="2"/>
        <charset val="1"/>
      </rPr>
      <t xml:space="preserve"> (0.373 x ((3.68 – 2.68 x exp(-Age(y)/0.89)) x exp(-Age(y)/629))) / 1.03</t>
    </r>
  </si>
  <si>
    <t>Ogiu et al. 1997</t>
  </si>
  <si>
    <r>
      <rPr>
        <b/>
        <sz val="12"/>
        <color rgb="FF000000"/>
        <rFont val="Calibri"/>
      </rPr>
      <t>Vbrain =</t>
    </r>
    <r>
      <rPr>
        <sz val="12"/>
        <color rgb="FF000000"/>
        <rFont val="Calibri"/>
      </rPr>
      <t xml:space="preserve"> 10×(Age(y) + 0.315)/(9+6.92×Age(y)) </t>
    </r>
  </si>
  <si>
    <t>Willmann et al. 2007</t>
  </si>
  <si>
    <r>
      <rPr>
        <b/>
        <sz val="12"/>
        <color rgb="FF000000"/>
        <rFont val="Calibri"/>
      </rPr>
      <t>Age &lt; 18yrs : Vbrain =</t>
    </r>
    <r>
      <rPr>
        <sz val="12"/>
        <color rgb="FF000000"/>
        <rFont val="Calibri"/>
      </rPr>
      <t xml:space="preserve"> (-5.03e⁻² x Age(h) + 9.07e⁻¹ x Age(h)^7.69e-1 + 3.95e⁻²) / 1000
</t>
    </r>
    <r>
      <rPr>
        <b/>
        <sz val="12"/>
        <color rgb="FF000000"/>
        <rFont val="Calibri"/>
      </rPr>
      <t xml:space="preserve">Age ≥ 18yrs : Vbrain = </t>
    </r>
    <r>
      <rPr>
        <sz val="12"/>
        <color rgb="FF000000"/>
        <rFont val="Calibri"/>
      </rPr>
      <t>1.47</t>
    </r>
  </si>
  <si>
    <r>
      <rPr>
        <b/>
        <sz val="12"/>
        <rFont val="Calibri"/>
        <family val="2"/>
        <charset val="1"/>
      </rPr>
      <t>Vbrain =</t>
    </r>
    <r>
      <rPr>
        <sz val="12"/>
        <rFont val="Calibri"/>
        <family val="2"/>
        <charset val="1"/>
      </rPr>
      <t xml:space="preserve"> 10×(Age(y) + 0.315)/(9+6.92×Age(y))</t>
    </r>
  </si>
  <si>
    <r>
      <rPr>
        <b/>
        <sz val="12"/>
        <color rgb="FF000000"/>
        <rFont val="Calibri"/>
      </rPr>
      <t>Vbrain =</t>
    </r>
    <r>
      <rPr>
        <sz val="12"/>
        <color rgb="FF000000"/>
        <rFont val="Calibri"/>
      </rPr>
      <t xml:space="preserve"> 0.218096 – 0.001590 x Age(y) – 0.003274 x BW(kg) + 0.008626 x HT(cm)</t>
    </r>
  </si>
  <si>
    <r>
      <rPr>
        <b/>
        <sz val="12"/>
        <color rgb="FF000000"/>
        <rFont val="Calibri"/>
      </rPr>
      <t>Vbrain =</t>
    </r>
    <r>
      <rPr>
        <sz val="12"/>
        <color rgb="FF000000"/>
        <rFont val="Calibri"/>
      </rPr>
      <t xml:space="preserve"> 0.3757397 – 0.0003031 x Age(y) – 0.0021962 x BW(kg) + 0.0065721 x HT(cm)</t>
    </r>
  </si>
  <si>
    <t>Price K. et al. 2003
Stader et al. 2019</t>
  </si>
  <si>
    <t>Bones (in L)</t>
  </si>
  <si>
    <r>
      <rPr>
        <b/>
        <sz val="12"/>
        <rFont val="Calibri"/>
        <family val="2"/>
        <charset val="1"/>
      </rPr>
      <t xml:space="preserve">Age &lt; 18yrs : Vbones = </t>
    </r>
    <r>
      <rPr>
        <sz val="12"/>
        <rFont val="Calibri"/>
        <family val="2"/>
        <charset val="1"/>
      </rPr>
      <t xml:space="preserve">(-0.0306 x Age(y)⁵ + 0.5222 x Age(y)⁴ + 9.7109 x Age(y)³ – 197.97 x Age(y)² + 1089.7 x Age(y) + 546.6) / 1000
</t>
    </r>
    <r>
      <rPr>
        <b/>
        <sz val="12"/>
        <rFont val="Calibri"/>
        <family val="2"/>
        <charset val="1"/>
      </rPr>
      <t>Age ≥ 18yrs : Vbones =</t>
    </r>
    <r>
      <rPr>
        <sz val="12"/>
        <rFont val="Calibri"/>
        <family val="2"/>
        <charset val="1"/>
      </rPr>
      <t xml:space="preserve"> 9.65</t>
    </r>
  </si>
  <si>
    <r>
      <rPr>
        <b/>
        <sz val="12"/>
        <rFont val="Calibri"/>
        <family val="2"/>
        <charset val="1"/>
      </rPr>
      <t xml:space="preserve">Age &lt; 18yrs : Vbones = </t>
    </r>
    <r>
      <rPr>
        <sz val="12"/>
        <rFont val="Calibri"/>
        <family val="2"/>
        <charset val="1"/>
      </rPr>
      <t xml:space="preserve">(-2.831e⁻³ x Age(y)⁵ – 0.18184 x Age(y)⁴ + 10.685 x Age(y)³ – 142.88 x Age(y)² + 782.05 x Age(y) + 609.64) / 1000
</t>
    </r>
    <r>
      <rPr>
        <b/>
        <sz val="12"/>
        <rFont val="Calibri"/>
        <family val="2"/>
        <charset val="1"/>
      </rPr>
      <t>Age ≥ 18yrs : Vbones =</t>
    </r>
    <r>
      <rPr>
        <sz val="12"/>
        <rFont val="Calibri"/>
        <family val="2"/>
        <charset val="1"/>
      </rPr>
      <t xml:space="preserve"> 6.27</t>
    </r>
  </si>
  <si>
    <t>ICRP 1975</t>
  </si>
  <si>
    <r>
      <rPr>
        <b/>
        <sz val="12"/>
        <rFont val="Calibri"/>
        <family val="2"/>
        <charset val="1"/>
      </rPr>
      <t xml:space="preserve">Age &lt; 18yrs : VBones = </t>
    </r>
    <r>
      <rPr>
        <sz val="12"/>
        <rFont val="Calibri"/>
        <family val="2"/>
        <charset val="1"/>
      </rPr>
      <t xml:space="preserve">(-0.0306 x Age(y)⁵ + 0.5222 x Age(y)⁴ + 9.7109 x Age(y)³ – 197.97 x Age(y)² + 1089.7 x Age(y) + 546.6) / 1000
</t>
    </r>
    <r>
      <rPr>
        <b/>
        <sz val="12"/>
        <rFont val="Calibri"/>
        <family val="2"/>
        <charset val="1"/>
      </rPr>
      <t>Age ≥ 18yrs : VBones =</t>
    </r>
    <r>
      <rPr>
        <sz val="12"/>
        <rFont val="Calibri"/>
        <family val="2"/>
        <charset val="1"/>
      </rPr>
      <t xml:space="preserve"> 9.65</t>
    </r>
  </si>
  <si>
    <r>
      <rPr>
        <b/>
        <sz val="12"/>
        <color rgb="FFFF0000"/>
        <rFont val="Calibri"/>
        <family val="2"/>
        <charset val="1"/>
      </rPr>
      <t>Vbones =</t>
    </r>
    <r>
      <rPr>
        <sz val="12"/>
        <color rgb="FFFF0000"/>
        <rFont val="Calibri"/>
        <family val="2"/>
        <charset val="1"/>
      </rPr>
      <t xml:space="preserve"> (0.026 + (0.043 – 0.026) x exp(-0.091 x Age(y))) x BW(kg) (too low result)</t>
    </r>
  </si>
  <si>
    <r>
      <rPr>
        <b/>
        <sz val="12"/>
        <color rgb="FFFF0000"/>
        <rFont val="Calibri"/>
        <family val="2"/>
        <charset val="1"/>
      </rPr>
      <t xml:space="preserve">Vbones = </t>
    </r>
    <r>
      <rPr>
        <sz val="12"/>
        <color rgb="FFFF0000"/>
        <rFont val="Calibri"/>
        <family val="2"/>
        <charset val="1"/>
      </rPr>
      <t>(0.0253 + (0.0429 – 0.0253) x exp(-0.0792 x Age(y))) x BW(kg) (too low result)</t>
    </r>
  </si>
  <si>
    <r>
      <rPr>
        <b/>
        <sz val="12"/>
        <rFont val="Calibri"/>
        <family val="2"/>
        <charset val="1"/>
      </rPr>
      <t>Age &lt; 50yrs : Vbones =</t>
    </r>
    <r>
      <rPr>
        <sz val="12"/>
        <rFont val="Calibri"/>
        <family val="2"/>
        <charset val="1"/>
      </rPr>
      <t xml:space="preserve"> (0.89983 + (2.9901 – 0.89989) / (1 + exp(14.17081 - Age(y)) / 1.58179)) / 0.65 / 0.5
</t>
    </r>
    <r>
      <rPr>
        <b/>
        <sz val="12"/>
        <rFont val="Calibri"/>
        <family val="2"/>
        <charset val="1"/>
      </rPr>
      <t>Age ≥ 50yrs : Vbones =</t>
    </r>
    <r>
      <rPr>
        <sz val="12"/>
        <rFont val="Calibri"/>
        <family val="2"/>
        <charset val="1"/>
      </rPr>
      <t xml:space="preserve"> (0.89983 + (2.9901 – 0.89989) / (1 + exp(14.17081 - Age(y)) / 1.58179) – (0.0019 x Age(y))) / 0.65 / 0.5</t>
    </r>
  </si>
  <si>
    <r>
      <rPr>
        <b/>
        <sz val="12"/>
        <rFont val="Calibri"/>
        <family val="2"/>
        <charset val="1"/>
      </rPr>
      <t>Age &lt; 50yrs : Vbones =</t>
    </r>
    <r>
      <rPr>
        <sz val="12"/>
        <rFont val="Calibri"/>
        <family val="2"/>
        <charset val="1"/>
      </rPr>
      <t xml:space="preserve"> (0.74042 + (2.14976 – 0.74042) / (1 + exp(12.35466 - Age(y)) / 1.58179)) / 0.65 / 0.5
</t>
    </r>
    <r>
      <rPr>
        <b/>
        <sz val="12"/>
        <rFont val="Calibri"/>
        <family val="2"/>
        <charset val="1"/>
      </rPr>
      <t>Age ≥ 50yrs : Vbones =</t>
    </r>
    <r>
      <rPr>
        <sz val="12"/>
        <rFont val="Calibri"/>
        <family val="2"/>
        <charset val="1"/>
      </rPr>
      <t xml:space="preserve"> (0.74042 + (2.14976 – 0.74042) / (1 + exp(12.35466 - Age(y)) / 1.58179) – (0.0056 x Age(y))) / 0.65 / 0.5</t>
    </r>
  </si>
  <si>
    <t>Baxter-Jones et al. 2011
Looker et al. 2009
Koo et al. 2000</t>
  </si>
  <si>
    <r>
      <rPr>
        <b/>
        <sz val="12"/>
        <color rgb="FF000000"/>
        <rFont val="Calibri"/>
        <family val="2"/>
      </rPr>
      <t xml:space="preserve">Age &lt; 18yrs : Vbones = </t>
    </r>
    <r>
      <rPr>
        <sz val="12"/>
        <color rgb="FF000000"/>
        <rFont val="Calibri"/>
        <family val="2"/>
      </rPr>
      <t xml:space="preserve">(5.97e⁻² x Age(h) + 9.07e⁻¹ x Age(h)^7.69e-1 + 3.95e²) / 1000
</t>
    </r>
    <r>
      <rPr>
        <b/>
        <sz val="12"/>
        <color rgb="FF000000"/>
        <rFont val="Calibri"/>
        <family val="2"/>
      </rPr>
      <t xml:space="preserve">Age ≥ 18yrs : Vbones = </t>
    </r>
    <r>
      <rPr>
        <sz val="12"/>
        <color rgb="FF000000"/>
        <rFont val="Calibri"/>
        <family val="2"/>
      </rPr>
      <t>11.73</t>
    </r>
  </si>
  <si>
    <t>Muscles (in L)</t>
  </si>
  <si>
    <r>
      <rPr>
        <b/>
        <sz val="12"/>
        <rFont val="Calibri"/>
        <family val="2"/>
        <charset val="1"/>
      </rPr>
      <t>Age &lt; 18yrs : Vmuscles =</t>
    </r>
    <r>
      <rPr>
        <sz val="12"/>
        <rFont val="Calibri"/>
        <family val="2"/>
        <charset val="1"/>
      </rPr>
      <t xml:space="preserve"> (0.535 x Age(y)³ + 56.937 x Age(y)² – 124.25 x Age(y) + 1051.3) / 1040
</t>
    </r>
    <r>
      <rPr>
        <b/>
        <sz val="12"/>
        <rFont val="Calibri"/>
        <family val="2"/>
        <charset val="1"/>
      </rPr>
      <t>Age ≥ 18yrs : Vmuscles =</t>
    </r>
    <r>
      <rPr>
        <sz val="12"/>
        <rFont val="Calibri"/>
        <family val="2"/>
        <charset val="1"/>
      </rPr>
      <t xml:space="preserve"> 19.60</t>
    </r>
  </si>
  <si>
    <r>
      <rPr>
        <b/>
        <sz val="12"/>
        <rFont val="Calibri"/>
        <family val="2"/>
        <charset val="1"/>
      </rPr>
      <t>Age &lt; 18yrs : Vmuscles =</t>
    </r>
    <r>
      <rPr>
        <sz val="12"/>
        <rFont val="Calibri"/>
        <family val="2"/>
        <charset val="1"/>
      </rPr>
      <t xml:space="preserve"> (0.015 x Age(y)⁶ – 0.8155 x Age(y)⁵ + 15.849 x Age(y)⁴ – 134.99 x Age(y)³ + 549.43 x Age(y)² – 530.65 x Age(y) + 958.87) / 1040
</t>
    </r>
    <r>
      <rPr>
        <b/>
        <sz val="12"/>
        <rFont val="Calibri"/>
        <family val="2"/>
        <charset val="1"/>
      </rPr>
      <t>Age ≥ 18yrs : Vmuscles =</t>
    </r>
    <r>
      <rPr>
        <sz val="12"/>
        <rFont val="Calibri"/>
        <family val="2"/>
        <charset val="1"/>
      </rPr>
      <t xml:space="preserve"> 15.17</t>
    </r>
  </si>
  <si>
    <r>
      <rPr>
        <b/>
        <sz val="12"/>
        <rFont val="Calibri"/>
        <family val="2"/>
        <charset val="1"/>
      </rPr>
      <t>Age &lt; 3yrs : Vmuscles =</t>
    </r>
    <r>
      <rPr>
        <sz val="12"/>
        <rFont val="Calibri"/>
        <family val="2"/>
        <charset val="1"/>
      </rPr>
      <t xml:space="preserve"> 9.561e⁻² x BW(kg) + 1.601e⁻² x HT(cm) + 1.097e⁻¹ x Age(y)
</t>
    </r>
    <r>
      <rPr>
        <b/>
        <sz val="12"/>
        <rFont val="Calibri"/>
        <family val="2"/>
        <charset val="1"/>
      </rPr>
      <t>Age ≥ 3 and &lt; 18yrs : Vmuscles =</t>
    </r>
    <r>
      <rPr>
        <sz val="12"/>
        <rFont val="Calibri"/>
        <family val="2"/>
        <charset val="1"/>
      </rPr>
      <t xml:space="preserve"> 2.789e⁻¹ x BW(kg) – 6.358e⁻² x HT(cm) + 9.850e⁻¹ x Age(y) + 2.167
</t>
    </r>
    <r>
      <rPr>
        <b/>
        <sz val="12"/>
        <rFont val="Calibri"/>
        <family val="2"/>
        <charset val="1"/>
      </rPr>
      <t>Age ≥ 18yrs : Vmuscles =</t>
    </r>
    <r>
      <rPr>
        <sz val="12"/>
        <rFont val="Calibri"/>
        <family val="2"/>
        <charset val="1"/>
      </rPr>
      <t xml:space="preserve"> 2.598e⁻¹ x BW(kg) + 1.206e⁻¹ x HT(cm) – 4.300e⁻³ x Age(y) – 1.110</t>
    </r>
  </si>
  <si>
    <r>
      <rPr>
        <b/>
        <sz val="12"/>
        <rFont val="Calibri"/>
        <family val="2"/>
        <charset val="1"/>
      </rPr>
      <t>Age &lt; 3yrs : Vmuscles =</t>
    </r>
    <r>
      <rPr>
        <sz val="12"/>
        <rFont val="Calibri"/>
        <family val="2"/>
        <charset val="1"/>
      </rPr>
      <t xml:space="preserve"> 9.563e⁻² x BW(kg) + 1.650e⁻² x HT(cm) + 9.102e⁻² x Age(y) – 1.642e⁻¹
</t>
    </r>
    <r>
      <rPr>
        <b/>
        <sz val="12"/>
        <rFont val="Calibri"/>
        <family val="2"/>
        <charset val="1"/>
      </rPr>
      <t>Age ≥ 3 and &lt; 18yrs : Vmuscles =</t>
    </r>
    <r>
      <rPr>
        <sz val="12"/>
        <rFont val="Calibri"/>
        <family val="2"/>
        <charset val="1"/>
      </rPr>
      <t xml:space="preserve"> 1.629e⁻¹ x BW(kg) + 2.603e⁻² x HT(cm) + 4.661e⁻¹ x Age(y) – 3.332
</t>
    </r>
    <r>
      <rPr>
        <b/>
        <sz val="12"/>
        <rFont val="Calibri"/>
        <family val="2"/>
        <charset val="1"/>
      </rPr>
      <t>Age ≥ 18yrs : Vmuscles =</t>
    </r>
    <r>
      <rPr>
        <sz val="12"/>
        <rFont val="Calibri"/>
        <family val="2"/>
        <charset val="1"/>
      </rPr>
      <t xml:space="preserve"> 6.780 x BSA(m²)</t>
    </r>
    <r>
      <rPr>
        <vertAlign val="superscript"/>
        <sz val="12"/>
        <rFont val="Calibri"/>
        <family val="2"/>
        <charset val="1"/>
      </rPr>
      <t>1.629</t>
    </r>
    <r>
      <rPr>
        <sz val="12"/>
        <rFont val="Calibri"/>
        <family val="2"/>
        <charset val="1"/>
      </rPr>
      <t xml:space="preserve"> – 1.492e⁻³ x Age(y) + 3.580</t>
    </r>
  </si>
  <si>
    <r>
      <rPr>
        <b/>
        <sz val="12"/>
        <rFont val="Calibri"/>
        <family val="2"/>
        <charset val="1"/>
      </rPr>
      <t>Age ≤ 24.3 : Vmuscles =</t>
    </r>
    <r>
      <rPr>
        <sz val="12"/>
        <rFont val="Calibri"/>
        <family val="2"/>
        <charset val="1"/>
      </rPr>
      <t xml:space="preserve"> (0.3973 + (0.201 – 0.3973) x exp(-0.141 x Age(y))) x BW(kg)
</t>
    </r>
    <r>
      <rPr>
        <b/>
        <sz val="12"/>
        <rFont val="Calibri"/>
        <family val="2"/>
        <charset val="1"/>
      </rPr>
      <t>Age &gt; 24.3 : Vmuscles =</t>
    </r>
    <r>
      <rPr>
        <sz val="12"/>
        <rFont val="Calibri"/>
        <family val="2"/>
        <charset val="1"/>
      </rPr>
      <t xml:space="preserve"> (0.3973 + (0.201 – 0.3973) x exp(-0.141 x Age(y))) x MuscleAtrophy x BW(kg)
</t>
    </r>
    <r>
      <rPr>
        <b/>
        <sz val="12"/>
        <rFont val="Calibri"/>
        <family val="2"/>
        <charset val="1"/>
      </rPr>
      <t>MuscleAtrophy =</t>
    </r>
    <r>
      <rPr>
        <sz val="12"/>
        <rFont val="Calibri"/>
        <family val="2"/>
        <charset val="1"/>
      </rPr>
      <t xml:space="preserve"> -0.0001264 x Age(y)² + 0.006131 x Age(y) + 0.926</t>
    </r>
  </si>
  <si>
    <r>
      <rPr>
        <b/>
        <sz val="12"/>
        <rFont val="Calibri"/>
        <family val="2"/>
        <charset val="1"/>
      </rPr>
      <t>Age ≤ 25.90709 : Vmuscles =</t>
    </r>
    <r>
      <rPr>
        <sz val="12"/>
        <rFont val="Calibri"/>
        <family val="2"/>
        <charset val="1"/>
      </rPr>
      <t xml:space="preserve"> (0.2917 + (0.207 – 0.2917) x exp(-0.339 x Age(y))) x BW(kg)
</t>
    </r>
    <r>
      <rPr>
        <b/>
        <sz val="12"/>
        <rFont val="Calibri"/>
        <family val="2"/>
        <charset val="1"/>
      </rPr>
      <t>Age &gt; 25.90709 : Vmuscles =</t>
    </r>
    <r>
      <rPr>
        <sz val="12"/>
        <rFont val="Calibri"/>
        <family val="2"/>
        <charset val="1"/>
      </rPr>
      <t xml:space="preserve"> (0.2917 + (0.207 – 0.2917) x exp(-0.339 x Age(y))) x MuscleAtrophy x BW(kg)
</t>
    </r>
    <r>
      <rPr>
        <b/>
        <sz val="12"/>
        <rFont val="Calibri"/>
        <family val="2"/>
        <charset val="1"/>
      </rPr>
      <t>MuscleAtrophy =</t>
    </r>
    <r>
      <rPr>
        <sz val="12"/>
        <rFont val="Calibri"/>
        <family val="2"/>
        <charset val="1"/>
      </rPr>
      <t xml:space="preserve"> -0.0001264 x Age(y)² + 0.006131 x Age(y) + 0.926</t>
    </r>
  </si>
  <si>
    <t>Lexell et al. 1988
ICRP 2002</t>
  </si>
  <si>
    <r>
      <rPr>
        <b/>
        <sz val="12"/>
        <rFont val="Calibri"/>
        <family val="2"/>
        <charset val="1"/>
      </rPr>
      <t xml:space="preserve">Vmuscles = </t>
    </r>
    <r>
      <rPr>
        <sz val="12"/>
        <rFont val="Calibri"/>
        <family val="2"/>
        <charset val="1"/>
      </rPr>
      <t>(1.251e⁻¹ + 1.458e⁻⁵ x BW(g) – 2.927e⁻¹⁰ x BW(g)² + 2.114e⁻¹⁵ x BW(g)³ – 5.25e⁻²¹ x BW(g)⁴) x BW(kg)</t>
    </r>
  </si>
  <si>
    <t>ICRP 2002 
Young et al. 2009</t>
  </si>
  <si>
    <r>
      <rPr>
        <b/>
        <sz val="12"/>
        <rFont val="Calibri"/>
        <family val="2"/>
        <charset val="1"/>
      </rPr>
      <t>Age &lt; 19yrs : Vmuscles =</t>
    </r>
    <r>
      <rPr>
        <sz val="12"/>
        <rFont val="Calibri"/>
        <family val="2"/>
        <charset val="1"/>
      </rPr>
      <t xml:space="preserve"> (12.4 /(1 + (6.5 x exp(-0.55 x Age(y))))) + (19.7 / (1 + exp(-0.85 x (Age(y) – 13.7))))
</t>
    </r>
    <r>
      <rPr>
        <b/>
        <sz val="12"/>
        <rFont val="Calibri"/>
        <family val="2"/>
        <charset val="1"/>
      </rPr>
      <t>Age ≥ 19yrs : Vmuscles =</t>
    </r>
    <r>
      <rPr>
        <sz val="12"/>
        <rFont val="Calibri"/>
        <family val="2"/>
        <charset val="1"/>
      </rPr>
      <t xml:space="preserve"> 31.86</t>
    </r>
  </si>
  <si>
    <r>
      <rPr>
        <b/>
        <sz val="12"/>
        <rFont val="Calibri"/>
        <family val="2"/>
        <charset val="1"/>
      </rPr>
      <t>Age &lt; 19yrs : Vmuscles =</t>
    </r>
    <r>
      <rPr>
        <sz val="12"/>
        <rFont val="Calibri"/>
        <family val="2"/>
        <charset val="1"/>
      </rPr>
      <t xml:space="preserve"> (7.0 /(1 + (6.5 x exp(-0.55 x Age(y))))) + (13.0 / (1 + exp(-0.75 x (Age(y) – 11.5))))
</t>
    </r>
    <r>
      <rPr>
        <b/>
        <sz val="12"/>
        <rFont val="Calibri"/>
        <family val="2"/>
        <charset val="1"/>
      </rPr>
      <t>Age ≥ 19yrs : Vmuscles =</t>
    </r>
    <r>
      <rPr>
        <sz val="12"/>
        <rFont val="Calibri"/>
        <family val="2"/>
        <charset val="1"/>
      </rPr>
      <t xml:space="preserve"> 19.95</t>
    </r>
  </si>
  <si>
    <t>Webber and Barr 2012</t>
  </si>
  <si>
    <r>
      <rPr>
        <b/>
        <sz val="12"/>
        <rFont val="Calibri"/>
        <family val="2"/>
        <charset val="1"/>
      </rPr>
      <t>Age &lt; 18yrs : Vmuscles =</t>
    </r>
    <r>
      <rPr>
        <sz val="12"/>
        <rFont val="Calibri"/>
        <family val="2"/>
        <charset val="1"/>
      </rPr>
      <t xml:space="preserve"> (1.26e⁻¹ x Age(h) + 7.76e⁻⁶ x Age(h)</t>
    </r>
    <r>
      <rPr>
        <vertAlign val="superscript"/>
        <sz val="12"/>
        <rFont val="Calibri"/>
        <family val="2"/>
        <charset val="1"/>
      </rPr>
      <t>1.76</t>
    </r>
    <r>
      <rPr>
        <sz val="12"/>
        <rFont val="Calibri"/>
        <family val="2"/>
        <charset val="1"/>
      </rPr>
      <t xml:space="preserve"> + 9.50e⁻²)/1000
</t>
    </r>
    <r>
      <rPr>
        <b/>
        <sz val="12"/>
        <rFont val="Calibri"/>
        <family val="2"/>
        <charset val="1"/>
      </rPr>
      <t>Age ≥ 18yrs : Vmuscles =</t>
    </r>
    <r>
      <rPr>
        <sz val="12"/>
        <rFont val="Calibri"/>
        <family val="2"/>
        <charset val="1"/>
      </rPr>
      <t xml:space="preserve"> 31.73</t>
    </r>
  </si>
  <si>
    <t>Kidney (in L)</t>
  </si>
  <si>
    <r>
      <rPr>
        <b/>
        <sz val="12"/>
        <rFont val="Calibri"/>
        <family val="2"/>
        <charset val="1"/>
      </rPr>
      <t>Age &lt; 18yrs : Vkidneys =</t>
    </r>
    <r>
      <rPr>
        <sz val="12"/>
        <rFont val="Calibri"/>
        <family val="2"/>
        <charset val="1"/>
      </rPr>
      <t xml:space="preserve"> (9.737e⁻⁴ x Age(y)⁵ – 0.0561 x Age(y)⁴ + 1.1729 x Age(y)³ – 10.34 x Age(y)² + 44.604 x Age(y) + 28.291) / 1050
</t>
    </r>
    <r>
      <rPr>
        <b/>
        <sz val="12"/>
        <rFont val="Calibri"/>
        <family val="2"/>
        <charset val="1"/>
      </rPr>
      <t>Age ≥ 18yrs : Vkidneys =</t>
    </r>
    <r>
      <rPr>
        <sz val="12"/>
        <rFont val="Calibri"/>
        <family val="2"/>
        <charset val="1"/>
      </rPr>
      <t xml:space="preserve"> 0.26</t>
    </r>
  </si>
  <si>
    <r>
      <rPr>
        <b/>
        <sz val="12"/>
        <rFont val="Calibri"/>
        <family val="2"/>
        <charset val="1"/>
      </rPr>
      <t>Age &lt; 18yrs : Vkidneys =</t>
    </r>
    <r>
      <rPr>
        <sz val="12"/>
        <rFont val="Calibri"/>
        <family val="2"/>
        <charset val="1"/>
      </rPr>
      <t xml:space="preserve"> (1.2676e⁻³ x Age(y)⁵ – 6.6825e⁻² x Age(y)⁴ + 1.2345 x Age(y)³ – 9.4597 x Age(y)² + 39.005 x Age(y) + 27.161) / 1050
</t>
    </r>
    <r>
      <rPr>
        <b/>
        <sz val="12"/>
        <rFont val="Calibri"/>
        <family val="2"/>
        <charset val="1"/>
      </rPr>
      <t>Age ≥ 18yrs : Vkidneys =</t>
    </r>
    <r>
      <rPr>
        <sz val="12"/>
        <rFont val="Calibri"/>
        <family val="2"/>
        <charset val="1"/>
      </rPr>
      <t xml:space="preserve"> 0.24</t>
    </r>
  </si>
  <si>
    <r>
      <rPr>
        <b/>
        <sz val="12"/>
        <color rgb="FF000000"/>
        <rFont val="Calibri"/>
      </rPr>
      <t>Age &lt; 18yrs : Vkidneys =</t>
    </r>
    <r>
      <rPr>
        <sz val="12"/>
        <color rgb="FF000000"/>
        <rFont val="Calibri"/>
      </rPr>
      <t xml:space="preserve"> (9.737e⁻⁴ x Age(y)⁵ – 0.0561 x Age(y)⁴ + 1.1729 x Age(y)³ – 10.34 x Age(y)² + 44.604 x Age(y) + 28.291) / 1050
</t>
    </r>
    <r>
      <rPr>
        <b/>
        <sz val="12"/>
        <color rgb="FF000000"/>
        <rFont val="Calibri"/>
      </rPr>
      <t>Age ≥ 18yrs : Vkidneys =</t>
    </r>
    <r>
      <rPr>
        <sz val="12"/>
        <color rgb="FF000000"/>
        <rFont val="Calibri"/>
      </rPr>
      <t xml:space="preserve"> 0.26</t>
    </r>
  </si>
  <si>
    <r>
      <rPr>
        <b/>
        <sz val="12"/>
        <rFont val="Calibri"/>
        <family val="2"/>
        <charset val="1"/>
      </rPr>
      <t>Vkidneys =</t>
    </r>
    <r>
      <rPr>
        <sz val="12"/>
        <rFont val="Calibri"/>
        <family val="2"/>
        <charset val="1"/>
      </rPr>
      <t xml:space="preserve"> (0.0042 + (0.00767 – 0.0042) x exp(-0.218 x Age(y))) x BW(kg)</t>
    </r>
  </si>
  <si>
    <r>
      <rPr>
        <b/>
        <sz val="12"/>
        <rFont val="Calibri"/>
        <family val="2"/>
        <charset val="1"/>
      </rPr>
      <t>Vkidneys =</t>
    </r>
    <r>
      <rPr>
        <sz val="12"/>
        <rFont val="Calibri"/>
        <family val="2"/>
        <charset val="1"/>
      </rPr>
      <t xml:space="preserve"> (0.0046 + (0.00709 – 0.0046) x exp(-0.221 x Age(y))) x BW(kg)</t>
    </r>
  </si>
  <si>
    <r>
      <rPr>
        <b/>
        <sz val="12"/>
        <color rgb="FF000000"/>
        <rFont val="Calibri"/>
      </rPr>
      <t>Vkidneys =</t>
    </r>
    <r>
      <rPr>
        <sz val="12"/>
        <color rgb="FF000000"/>
        <rFont val="Calibri"/>
      </rPr>
      <t xml:space="preserve"> (7.26e⁻³ – 6.69e⁻⁸ x BW(g) + 3.33e⁻¹³ x BW(g)²) x BW(kg)</t>
    </r>
  </si>
  <si>
    <r>
      <rPr>
        <b/>
        <sz val="12"/>
        <color rgb="FF000000"/>
        <rFont val="Calibri"/>
      </rPr>
      <t>Age ≤ 12yrs : Vkidneys =</t>
    </r>
    <r>
      <rPr>
        <sz val="12"/>
        <color rgb="FF000000"/>
        <rFont val="Calibri"/>
      </rPr>
      <t xml:space="preserve"> 0.02053 x HT(m) x (BW(kg)^0.5 + 0.01266)
</t>
    </r>
    <r>
      <rPr>
        <b/>
        <sz val="12"/>
        <color rgb="FF000000"/>
        <rFont val="Calibri"/>
      </rPr>
      <t xml:space="preserve">Age &gt; 12yrs : Vkidneys = </t>
    </r>
    <r>
      <rPr>
        <sz val="12"/>
        <color rgb="FF000000"/>
        <rFont val="Calibri"/>
      </rPr>
      <t>(0.0154 + 0.00204 x BW(kg) + 0.0518 x HT(m)² ) x S
S = (0.02053 x HT(m) x BW(kg)^0.5 + 0.01266) / (0.0154 + 0.00204 x BW(kg) + 0.0518 x HT(m)²)</t>
    </r>
  </si>
  <si>
    <t xml:space="preserve">Gilja, 1995 </t>
  </si>
  <si>
    <r>
      <rPr>
        <b/>
        <sz val="12"/>
        <color rgb="FF000000"/>
        <rFont val="Calibri"/>
      </rPr>
      <t>Vkidneys =</t>
    </r>
    <r>
      <rPr>
        <sz val="12"/>
        <color rgb="FF000000"/>
        <rFont val="Calibri"/>
      </rPr>
      <t xml:space="preserve"> (10.24 x HT(m) x sqrt(BW(kg) + 7.85) + (9.88 x HT(m) x sqrt(BW(kg)) + 7.2)) / 1050</t>
    </r>
  </si>
  <si>
    <r>
      <rPr>
        <b/>
        <sz val="12"/>
        <color rgb="FF000000"/>
        <rFont val="Calibri"/>
      </rPr>
      <t>Vkidneys =</t>
    </r>
    <r>
      <rPr>
        <sz val="12"/>
        <color rgb="FF000000"/>
        <rFont val="Calibri"/>
      </rPr>
      <t xml:space="preserve"> (10.65 x HT(m) x sqrt(BW(kg) + 6.11) + (9.88 x HT(m) x sqrt(BW(kg)) + 6.55)) / 1050</t>
    </r>
  </si>
  <si>
    <r>
      <rPr>
        <b/>
        <sz val="12"/>
        <color rgb="FF000000"/>
        <rFont val="Calibri"/>
      </rPr>
      <t xml:space="preserve">Age &lt; 18yrs : Vkidneys = </t>
    </r>
    <r>
      <rPr>
        <sz val="12"/>
        <color rgb="FF000000"/>
        <rFont val="Calibri"/>
      </rPr>
      <t>(3.17e⁻² x Age(h) + 1.44e⁻² x Age(h)</t>
    </r>
    <r>
      <rPr>
        <vertAlign val="superscript"/>
        <sz val="12"/>
        <color rgb="FF000000"/>
        <rFont val="Calibri"/>
      </rPr>
      <t xml:space="preserve">1.06 </t>
    </r>
    <r>
      <rPr>
        <sz val="12"/>
        <color rgb="FF000000"/>
        <rFont val="Calibri"/>
      </rPr>
      <t xml:space="preserve">+ 3.80e¹) / 20000
</t>
    </r>
    <r>
      <rPr>
        <b/>
        <sz val="12"/>
        <color rgb="FF000000"/>
        <rFont val="Calibri"/>
      </rPr>
      <t>Age ≥ 18yrs : Vkidneys =</t>
    </r>
    <r>
      <rPr>
        <sz val="12"/>
        <color rgb="FF000000"/>
        <rFont val="Calibri"/>
      </rPr>
      <t xml:space="preserve"> 0.48</t>
    </r>
  </si>
  <si>
    <r>
      <rPr>
        <b/>
        <sz val="12"/>
        <color rgb="FF000000"/>
        <rFont val="Calibri"/>
      </rPr>
      <t>Vkidneys =</t>
    </r>
    <r>
      <rPr>
        <sz val="12"/>
        <color rgb="FF000000"/>
        <rFont val="Calibri"/>
      </rPr>
      <t xml:space="preserve"> exp(-2.306 x (HT(m)^-1.93))</t>
    </r>
  </si>
  <si>
    <t>Bosgra et al. (2012)</t>
  </si>
  <si>
    <r>
      <rPr>
        <b/>
        <sz val="12"/>
        <color rgb="FF000000"/>
        <rFont val="Calibri"/>
      </rPr>
      <t xml:space="preserve">Vkidneys = </t>
    </r>
    <r>
      <rPr>
        <sz val="12"/>
        <color rgb="FF000000"/>
        <rFont val="Calibri"/>
      </rPr>
      <t>5.668e⁻² – 4.962e⁻⁴ x Age(y) + 3.501e⁻³ x BW(kg)</t>
    </r>
  </si>
  <si>
    <r>
      <rPr>
        <b/>
        <sz val="12"/>
        <color rgb="FF000000"/>
        <rFont val="Calibri"/>
      </rPr>
      <t xml:space="preserve">Vkidneys = </t>
    </r>
    <r>
      <rPr>
        <sz val="12"/>
        <color rgb="FF000000"/>
        <rFont val="Calibri"/>
      </rPr>
      <t>0.0458676 – 0.0003957 x Age(y) + 0.0035115 x BW(kg)</t>
    </r>
  </si>
  <si>
    <t>Liver (in L)</t>
  </si>
  <si>
    <r>
      <rPr>
        <b/>
        <sz val="12"/>
        <rFont val="Calibri"/>
        <family val="2"/>
        <charset val="1"/>
      </rPr>
      <t>Age &lt; 18yrs : Vliver =</t>
    </r>
    <r>
      <rPr>
        <sz val="12"/>
        <rFont val="Calibri"/>
        <family val="2"/>
        <charset val="1"/>
      </rPr>
      <t xml:space="preserve"> (0.0072 x Age(y)⁵ – 0.3975 x Age(y)⁴ + 7.9052 x Age(y)³ – 65.624 x Age(y)² + 262.02 x Age(y) + 157.52) / 1050
</t>
    </r>
    <r>
      <rPr>
        <b/>
        <sz val="12"/>
        <rFont val="Calibri"/>
        <family val="2"/>
        <charset val="1"/>
      </rPr>
      <t>Age ≥ 18yrs : Vliver =</t>
    </r>
    <r>
      <rPr>
        <sz val="12"/>
        <rFont val="Calibri"/>
        <family val="2"/>
        <charset val="1"/>
      </rPr>
      <t xml:space="preserve"> 1.52</t>
    </r>
  </si>
  <si>
    <r>
      <rPr>
        <b/>
        <sz val="12"/>
        <rFont val="Calibri"/>
        <family val="2"/>
        <charset val="1"/>
      </rPr>
      <t>Age &lt; 18yrs : Vliver =</t>
    </r>
    <r>
      <rPr>
        <sz val="12"/>
        <rFont val="Calibri"/>
        <family val="2"/>
        <charset val="1"/>
      </rPr>
      <t xml:space="preserve"> (0.0057 x Age(y)⁵ – 0.3396 x Age(y)⁴ + 7.0134 x Age(y)³ – 59.539 x Age(y)² + 251.9 x Age(y) + 139.65) / 1050
</t>
    </r>
    <r>
      <rPr>
        <b/>
        <sz val="12"/>
        <rFont val="Calibri"/>
        <family val="2"/>
        <charset val="1"/>
      </rPr>
      <t>Age ≥ 18yrs : Vliver =</t>
    </r>
    <r>
      <rPr>
        <sz val="12"/>
        <rFont val="Calibri"/>
        <family val="2"/>
        <charset val="1"/>
      </rPr>
      <t xml:space="preserve"> 1.41</t>
    </r>
  </si>
  <si>
    <t>Altman and Dittmer (1962)</t>
  </si>
  <si>
    <r>
      <rPr>
        <b/>
        <sz val="12"/>
        <color rgb="FF000000"/>
        <rFont val="Calibri"/>
      </rPr>
      <t>Age &lt; 18yrs : Vliver =</t>
    </r>
    <r>
      <rPr>
        <sz val="12"/>
        <color rgb="FF000000"/>
        <rFont val="Calibri"/>
      </rPr>
      <t xml:space="preserve"> (0.0072 x Age(y)⁵ – 0.3975 x Age(y)⁴ + 7.9052 x Age(y)³ – 65.624 x Age(y)² + 262.02 x Age(y) + 157.52) / 1050
</t>
    </r>
    <r>
      <rPr>
        <b/>
        <sz val="12"/>
        <color rgb="FF000000"/>
        <rFont val="Calibri"/>
      </rPr>
      <t>Age ≥ 18yrs : Vliver =</t>
    </r>
    <r>
      <rPr>
        <sz val="12"/>
        <color rgb="FF000000"/>
        <rFont val="Calibri"/>
      </rPr>
      <t xml:space="preserve"> 1.52</t>
    </r>
  </si>
  <si>
    <r>
      <rPr>
        <b/>
        <sz val="12"/>
        <color rgb="FF000000"/>
        <rFont val="Calibri"/>
      </rPr>
      <t xml:space="preserve">Vliver = </t>
    </r>
    <r>
      <rPr>
        <sz val="12"/>
        <color rgb="FF000000"/>
        <rFont val="Calibri"/>
      </rPr>
      <t>0.05012 x BW(kg)^0.78</t>
    </r>
  </si>
  <si>
    <r>
      <rPr>
        <b/>
        <sz val="12"/>
        <color rgb="FF000000"/>
        <rFont val="Calibri"/>
      </rPr>
      <t>Vliver =</t>
    </r>
    <r>
      <rPr>
        <sz val="12"/>
        <color rgb="FF000000"/>
        <rFont val="Calibri"/>
      </rPr>
      <t xml:space="preserve"> 0.0501 x BW(kg)</t>
    </r>
  </si>
  <si>
    <r>
      <rPr>
        <b/>
        <sz val="12"/>
        <color rgb="FF000000"/>
        <rFont val="Calibri"/>
      </rPr>
      <t>Vliver =</t>
    </r>
    <r>
      <rPr>
        <sz val="12"/>
        <color rgb="FF000000"/>
        <rFont val="Calibri"/>
      </rPr>
      <t xml:space="preserve"> (0.0247 + (0.0409 - 0.0247) x exp(-0.218xAge (y))) x BW(kg)</t>
    </r>
  </si>
  <si>
    <r>
      <rPr>
        <b/>
        <sz val="12"/>
        <color rgb="FF000000"/>
        <rFont val="Calibri"/>
      </rPr>
      <t>Vliver =</t>
    </r>
    <r>
      <rPr>
        <sz val="12"/>
        <color rgb="FF000000"/>
        <rFont val="Calibri"/>
      </rPr>
      <t xml:space="preserve"> (0.0233 + (0.038-  0.0233) x exp(-0.122xAge(y))) x BW(kg)</t>
    </r>
  </si>
  <si>
    <r>
      <rPr>
        <b/>
        <sz val="12"/>
        <color rgb="FF000000"/>
        <rFont val="Calibri"/>
      </rPr>
      <t>Vliver =</t>
    </r>
    <r>
      <rPr>
        <sz val="12"/>
        <color rgb="FF000000"/>
        <rFont val="Calibri"/>
      </rPr>
      <t xml:space="preserve"> (3.939e⁻² – 7.058e⁻⁷ x BW(g) + 1.155e⁻¹¹ x BW(g)² – 8.016e⁻¹⁷ x BW(g)³ + 1.869e⁻²² x BW(g)⁴) x BW(kg)</t>
    </r>
  </si>
  <si>
    <r>
      <rPr>
        <b/>
        <sz val="12"/>
        <color rgb="FF000000"/>
        <rFont val="Calibri"/>
      </rPr>
      <t>Age ≤ 22 yrs: Vliver =</t>
    </r>
    <r>
      <rPr>
        <sz val="12"/>
        <color rgb="FF000000"/>
        <rFont val="Calibri"/>
      </rPr>
      <t xml:space="preserve"> 0.05012×BW(kg)^0.78
</t>
    </r>
    <r>
      <rPr>
        <b/>
        <sz val="12"/>
        <color rgb="FF000000"/>
        <rFont val="Calibri"/>
      </rPr>
      <t xml:space="preserve">Age &gt; 22 yrs: Vliver = </t>
    </r>
    <r>
      <rPr>
        <sz val="12"/>
        <color rgb="FF000000"/>
        <rFont val="Calibri"/>
      </rPr>
      <t>(1.0728×BSA(m²)-0.3457) × S
S = 0.05012×BW</t>
    </r>
    <r>
      <rPr>
        <vertAlign val="subscript"/>
        <sz val="12"/>
        <color rgb="FF000000"/>
        <rFont val="Calibri"/>
      </rPr>
      <t>Adult</t>
    </r>
    <r>
      <rPr>
        <sz val="12"/>
        <color rgb="FF000000"/>
        <rFont val="Calibri"/>
      </rPr>
      <t>(kg)^0.78 /(1.0728×BSA</t>
    </r>
    <r>
      <rPr>
        <vertAlign val="subscript"/>
        <sz val="12"/>
        <color rgb="FF000000"/>
        <rFont val="Calibri"/>
      </rPr>
      <t>Adult</t>
    </r>
    <r>
      <rPr>
        <sz val="12"/>
        <color rgb="FF000000"/>
        <rFont val="Calibri"/>
      </rPr>
      <t>(m²) - 0.3457)</t>
    </r>
  </si>
  <si>
    <t>Noda (1997)</t>
  </si>
  <si>
    <r>
      <rPr>
        <b/>
        <sz val="12"/>
        <rFont val="Calibri"/>
        <family val="2"/>
        <charset val="1"/>
      </rPr>
      <t>Vliver =</t>
    </r>
    <r>
      <rPr>
        <sz val="12"/>
        <rFont val="Calibri"/>
        <family val="2"/>
        <charset val="1"/>
      </rPr>
      <t xml:space="preserve"> (576.9 x HT(m) + 8.9 x BW(kg) – 159.7) / 1050</t>
    </r>
  </si>
  <si>
    <r>
      <rPr>
        <b/>
        <sz val="12"/>
        <rFont val="Calibri"/>
        <family val="2"/>
        <charset val="1"/>
      </rPr>
      <t>Vliver =</t>
    </r>
    <r>
      <rPr>
        <sz val="12"/>
        <rFont val="Calibri"/>
        <family val="2"/>
        <charset val="1"/>
      </rPr>
      <t xml:space="preserve"> (674.3 x HT(m) + 6.5 x BW(kg) – 214.4) / 1050</t>
    </r>
  </si>
  <si>
    <t>Ogiu et al. 1997
Price, P.S. et al. 2003</t>
  </si>
  <si>
    <r>
      <rPr>
        <b/>
        <sz val="12"/>
        <color rgb="FF000000"/>
        <rFont val="Calibri"/>
      </rPr>
      <t>Age ≤ 22 yrs: Vliver =</t>
    </r>
    <r>
      <rPr>
        <sz val="12"/>
        <color rgb="FF000000"/>
        <rFont val="Calibri"/>
      </rPr>
      <t xml:space="preserve"> 0.05012×BW^0.78
</t>
    </r>
    <r>
      <rPr>
        <b/>
        <sz val="12"/>
        <color rgb="FF000000"/>
        <rFont val="Calibri"/>
      </rPr>
      <t>Age &gt; 22 yrs: Vliver =</t>
    </r>
    <r>
      <rPr>
        <sz val="12"/>
        <color rgb="FF000000"/>
        <rFont val="Calibri"/>
      </rPr>
      <t xml:space="preserve"> (1.0728×BSA-0.3457) × S
S = 0.05012×BWAdult^0.78 /(1.0728×BSA</t>
    </r>
    <r>
      <rPr>
        <vertAlign val="subscript"/>
        <sz val="12"/>
        <color rgb="FF000000"/>
        <rFont val="Calibri"/>
      </rPr>
      <t>Adult</t>
    </r>
    <r>
      <rPr>
        <sz val="12"/>
        <color rgb="FF000000"/>
        <rFont val="Calibri"/>
      </rPr>
      <t>-0.3457)</t>
    </r>
  </si>
  <si>
    <r>
      <rPr>
        <b/>
        <sz val="12"/>
        <color rgb="FF000000"/>
        <rFont val="Calibri"/>
      </rPr>
      <t>Age &lt; 18yrs : Vliver =</t>
    </r>
    <r>
      <rPr>
        <sz val="12"/>
        <color rgb="FF000000"/>
        <rFont val="Calibri"/>
      </rPr>
      <t xml:space="preserve"> (2.79e⁻³ x Age(h) + 1.10 x Age(h)^6.03e-1 + 1.60e²) / 1000
</t>
    </r>
    <r>
      <rPr>
        <b/>
        <sz val="12"/>
        <color rgb="FF000000"/>
        <rFont val="Calibri"/>
      </rPr>
      <t>Age ≥ 18yrs : Vliver =</t>
    </r>
    <r>
      <rPr>
        <sz val="12"/>
        <color rgb="FF000000"/>
        <rFont val="Calibri"/>
      </rPr>
      <t xml:space="preserve"> 2.10</t>
    </r>
  </si>
  <si>
    <r>
      <rPr>
        <b/>
        <sz val="12"/>
        <color rgb="FF000000"/>
        <rFont val="Calibri"/>
        <family val="2"/>
      </rPr>
      <t>Age &lt; 23 yrs: Vliver =</t>
    </r>
    <r>
      <rPr>
        <sz val="12"/>
        <color rgb="FF000000"/>
        <rFont val="Calibri"/>
        <family val="2"/>
      </rPr>
      <t xml:space="preserve"> 0.05012×BW^0.78
</t>
    </r>
    <r>
      <rPr>
        <b/>
        <sz val="12"/>
        <color rgb="FF000000"/>
        <rFont val="Calibri"/>
        <family val="2"/>
      </rPr>
      <t>Age ≥ 23 yrs: Vliver =</t>
    </r>
    <r>
      <rPr>
        <sz val="12"/>
        <color rgb="FF000000"/>
        <rFont val="Calibri"/>
        <family val="2"/>
      </rPr>
      <t xml:space="preserve"> (1.0728×BSA-0.3457) × S
S = 0.05012×BW</t>
    </r>
    <r>
      <rPr>
        <vertAlign val="subscript"/>
        <sz val="12"/>
        <color rgb="FF000000"/>
        <rFont val="Calibri"/>
        <family val="2"/>
      </rPr>
      <t>Adult</t>
    </r>
    <r>
      <rPr>
        <sz val="12"/>
        <color rgb="FF000000"/>
        <rFont val="Calibri"/>
        <family val="2"/>
      </rPr>
      <t>(kg)^0.78 /(1.0728×BSA</t>
    </r>
    <r>
      <rPr>
        <vertAlign val="subscript"/>
        <sz val="12"/>
        <color rgb="FF000000"/>
        <rFont val="Calibri"/>
        <family val="2"/>
      </rPr>
      <t>Adult</t>
    </r>
    <r>
      <rPr>
        <sz val="12"/>
        <color rgb="FF000000"/>
        <rFont val="Calibri"/>
        <family val="2"/>
      </rPr>
      <t>-0.3457)</t>
    </r>
  </si>
  <si>
    <r>
      <rPr>
        <b/>
        <sz val="12"/>
        <color rgb="FF000000"/>
        <rFont val="Calibri"/>
      </rPr>
      <t>Vliver =</t>
    </r>
    <r>
      <rPr>
        <sz val="12"/>
        <color rgb="FF000000"/>
        <rFont val="Calibri"/>
      </rPr>
      <t xml:space="preserve"> -0.0143744 – 0.0044728 x Age(y) + 0.0264591 x BW(kg)</t>
    </r>
  </si>
  <si>
    <r>
      <rPr>
        <b/>
        <sz val="12"/>
        <color rgb="FF000000"/>
        <rFont val="Calibri"/>
      </rPr>
      <t>Vliver =</t>
    </r>
    <r>
      <rPr>
        <sz val="12"/>
        <color rgb="FF000000"/>
        <rFont val="Calibri"/>
      </rPr>
      <t xml:space="preserve"> 0.0017717 – 0.0030113 x Age(y) + 0.0253455 x BW(kg)</t>
    </r>
  </si>
  <si>
    <t>Lungs (in L)</t>
  </si>
  <si>
    <r>
      <rPr>
        <b/>
        <sz val="12"/>
        <rFont val="Calibri"/>
        <family val="2"/>
        <charset val="1"/>
      </rPr>
      <t>Age &lt; 18yrs : Vlungs =</t>
    </r>
    <r>
      <rPr>
        <sz val="12"/>
        <rFont val="Calibri"/>
        <family val="2"/>
        <charset val="1"/>
      </rPr>
      <t xml:space="preserve"> (-0.0346 x Age(y)⁴ + 1.5069 x Age(y)³ – 20.31 x Age(y)² + 123.99 x Age(y) + 59.213) / 1050
</t>
    </r>
    <r>
      <rPr>
        <b/>
        <sz val="12"/>
        <rFont val="Calibri"/>
        <family val="2"/>
        <charset val="1"/>
      </rPr>
      <t>Age ≥ 18yrs : Vlungs =</t>
    </r>
    <r>
      <rPr>
        <sz val="12"/>
        <rFont val="Calibri"/>
        <family val="2"/>
        <charset val="1"/>
      </rPr>
      <t xml:space="preserve"> 0.83</t>
    </r>
  </si>
  <si>
    <r>
      <rPr>
        <b/>
        <sz val="12"/>
        <rFont val="Calibri"/>
        <family val="2"/>
        <charset val="1"/>
      </rPr>
      <t>Age &lt; 18yrs : Vlungs =</t>
    </r>
    <r>
      <rPr>
        <sz val="12"/>
        <rFont val="Calibri"/>
        <family val="2"/>
        <charset val="1"/>
      </rPr>
      <t xml:space="preserve"> (6.3e⁻³ x Age(y)⁵ – 0.3162 x Age(y)⁴ + 5.5896 x Age(y)³ – 42.196 x Age(y)² + 160.79 x Age(y) + 50.506) / 1050
</t>
    </r>
    <r>
      <rPr>
        <b/>
        <sz val="12"/>
        <rFont val="Calibri"/>
        <family val="2"/>
        <charset val="1"/>
      </rPr>
      <t>Age ≥ 18yrs : Vlungs =</t>
    </r>
    <r>
      <rPr>
        <sz val="12"/>
        <rFont val="Calibri"/>
        <family val="2"/>
        <charset val="1"/>
      </rPr>
      <t xml:space="preserve"> 0.58</t>
    </r>
  </si>
  <si>
    <r>
      <rPr>
        <b/>
        <sz val="12"/>
        <rFont val="Calibri"/>
        <family val="2"/>
        <charset val="1"/>
      </rPr>
      <t>Vlungs =</t>
    </r>
    <r>
      <rPr>
        <sz val="12"/>
        <rFont val="Calibri"/>
        <family val="2"/>
        <charset val="1"/>
      </rPr>
      <t xml:space="preserve"> 0.0068 x BW(kg)</t>
    </r>
  </si>
  <si>
    <r>
      <rPr>
        <b/>
        <sz val="12"/>
        <rFont val="Calibri"/>
        <family val="2"/>
        <charset val="1"/>
      </rPr>
      <t>Vlungs =</t>
    </r>
    <r>
      <rPr>
        <sz val="12"/>
        <rFont val="Calibri"/>
        <family val="2"/>
        <charset val="1"/>
      </rPr>
      <t xml:space="preserve"> 0.0070 x BW(kg)</t>
    </r>
  </si>
  <si>
    <r>
      <rPr>
        <b/>
        <sz val="12"/>
        <rFont val="Calibri"/>
        <family val="2"/>
        <charset val="1"/>
      </rPr>
      <t xml:space="preserve">Vlungs = </t>
    </r>
    <r>
      <rPr>
        <sz val="12"/>
        <rFont val="Calibri"/>
        <family val="2"/>
        <charset val="1"/>
      </rPr>
      <t>(1.86e⁻² – 4.55e⁻⁸ x BW(g)) x BW(kg)</t>
    </r>
  </si>
  <si>
    <r>
      <rPr>
        <b/>
        <sz val="12"/>
        <rFont val="Calibri"/>
        <family val="2"/>
        <charset val="1"/>
      </rPr>
      <t>Age &lt; 18yrs : Vlungs =</t>
    </r>
    <r>
      <rPr>
        <sz val="12"/>
        <rFont val="Calibri"/>
        <family val="2"/>
        <charset val="1"/>
      </rPr>
      <t xml:space="preserve"> ((29.08 x HT(m) x sqrt(BW(kg)) + 11.06) + (35.47 x HT(m) x sqrt(BW(kg)) + 5.53)) / 1050
</t>
    </r>
    <r>
      <rPr>
        <b/>
        <sz val="12"/>
        <rFont val="Calibri"/>
        <family val="2"/>
        <charset val="1"/>
      </rPr>
      <t>Age ≥ 18yrs : Vlungs =</t>
    </r>
    <r>
      <rPr>
        <sz val="12"/>
        <rFont val="Calibri"/>
        <family val="2"/>
        <charset val="1"/>
      </rPr>
      <t xml:space="preserve"> 0.89</t>
    </r>
  </si>
  <si>
    <r>
      <rPr>
        <b/>
        <sz val="12"/>
        <rFont val="Calibri"/>
        <family val="2"/>
        <charset val="1"/>
      </rPr>
      <t>Age &lt; 18yrs : Vlungs =</t>
    </r>
    <r>
      <rPr>
        <sz val="12"/>
        <rFont val="Calibri"/>
        <family val="2"/>
        <charset val="1"/>
      </rPr>
      <t xml:space="preserve"> ((31.46 x HT(m) x sqrt(BW(kg)) + 1.43) + (35.30 x HT(m) x sqrt(BW(kg)) + 1.53)) / 1050
</t>
    </r>
    <r>
      <rPr>
        <b/>
        <sz val="12"/>
        <rFont val="Calibri"/>
        <family val="2"/>
        <charset val="1"/>
      </rPr>
      <t>Age ≥ 18yrs : Vlungs =</t>
    </r>
    <r>
      <rPr>
        <sz val="12"/>
        <rFont val="Calibri"/>
        <family val="2"/>
        <charset val="1"/>
      </rPr>
      <t xml:space="preserve"> 0.80</t>
    </r>
  </si>
  <si>
    <r>
      <rPr>
        <b/>
        <sz val="12"/>
        <color rgb="FF000000"/>
        <rFont val="Calibri"/>
        <family val="2"/>
      </rPr>
      <t>Age &lt; 18yrs : Vlungs =</t>
    </r>
    <r>
      <rPr>
        <sz val="12"/>
        <color rgb="FF000000"/>
        <rFont val="Calibri"/>
        <family val="2"/>
      </rPr>
      <t xml:space="preserve"> (9.74e⁻² x Age(h) + 6.33e⁻² x Age(h)^9.98e-1 + 3.80e¹) / 25000
</t>
    </r>
    <r>
      <rPr>
        <b/>
        <sz val="12"/>
        <color rgb="FF000000"/>
        <rFont val="Calibri"/>
        <family val="2"/>
      </rPr>
      <t>Age ≥ 18yrs : Vlungs = 1.19</t>
    </r>
  </si>
  <si>
    <r>
      <rPr>
        <b/>
        <sz val="12"/>
        <color rgb="FF000000"/>
        <rFont val="Calibri"/>
        <family val="2"/>
      </rPr>
      <t>Vlungs =</t>
    </r>
    <r>
      <rPr>
        <sz val="12"/>
        <color rgb="FF000000"/>
        <rFont val="Calibri"/>
        <family val="2"/>
      </rPr>
      <t xml:space="preserve"> exp(-2.092 x (HT(m)^-2.1))</t>
    </r>
  </si>
  <si>
    <r>
      <rPr>
        <b/>
        <sz val="12"/>
        <rFont val="Calibri"/>
        <family val="2"/>
        <charset val="1"/>
      </rPr>
      <t>Vlungs =</t>
    </r>
    <r>
      <rPr>
        <sz val="12"/>
        <rFont val="Calibri"/>
        <family val="2"/>
        <charset val="1"/>
      </rPr>
      <t xml:space="preserve"> -1.454e⁻² + 7.269e⁻⁴ x age(y) + 9.329e⁻⁶ x Age(y)² + 6.430e⁻³ x BW(kg) + 3.083e⁻⁵ x BW(kg)²</t>
    </r>
  </si>
  <si>
    <t>Pancreas (in L)</t>
  </si>
  <si>
    <r>
      <rPr>
        <b/>
        <sz val="12"/>
        <rFont val="Calibri"/>
        <family val="2"/>
        <charset val="1"/>
      </rPr>
      <t xml:space="preserve">Vpancreas = </t>
    </r>
    <r>
      <rPr>
        <sz val="12"/>
        <rFont val="Calibri"/>
        <family val="2"/>
        <charset val="1"/>
      </rPr>
      <t>0.00192 x BW(kg)</t>
    </r>
  </si>
  <si>
    <r>
      <rPr>
        <b/>
        <sz val="12"/>
        <rFont val="Calibri"/>
        <family val="2"/>
        <charset val="1"/>
      </rPr>
      <t>Vpancreas =</t>
    </r>
    <r>
      <rPr>
        <sz val="12"/>
        <rFont val="Calibri"/>
        <family val="2"/>
        <charset val="1"/>
      </rPr>
      <t xml:space="preserve"> 0.002 x BW(kg)</t>
    </r>
  </si>
  <si>
    <r>
      <rPr>
        <b/>
        <sz val="12"/>
        <rFont val="Calibri"/>
        <family val="2"/>
        <charset val="1"/>
      </rPr>
      <t>Vpancreas =</t>
    </r>
    <r>
      <rPr>
        <sz val="12"/>
        <rFont val="Calibri"/>
        <family val="2"/>
        <charset val="1"/>
      </rPr>
      <t xml:space="preserve"> 1.48e⁻³ x BW(kg)</t>
    </r>
  </si>
  <si>
    <t>Young et al. 2009
Brown et al. 1997</t>
  </si>
  <si>
    <r>
      <rPr>
        <b/>
        <sz val="12"/>
        <rFont val="Calibri"/>
        <family val="2"/>
        <charset val="1"/>
      </rPr>
      <t xml:space="preserve">Vpancreas = </t>
    </r>
    <r>
      <rPr>
        <sz val="12"/>
        <rFont val="Calibri"/>
        <family val="2"/>
        <charset val="1"/>
      </rPr>
      <t>(7.6 x HT(m) x sqrt(BW(kg)) – 0.79) / 1045</t>
    </r>
  </si>
  <si>
    <r>
      <rPr>
        <b/>
        <sz val="12"/>
        <rFont val="Calibri"/>
        <family val="2"/>
        <charset val="1"/>
      </rPr>
      <t xml:space="preserve">Vpancreas = </t>
    </r>
    <r>
      <rPr>
        <sz val="12"/>
        <rFont val="Calibri"/>
        <family val="2"/>
        <charset val="1"/>
      </rPr>
      <t>(7.92 x HT(m) x sqrt(BW(kg)) – 2.09) / 1045</t>
    </r>
  </si>
  <si>
    <t>Skin (in L)</t>
  </si>
  <si>
    <r>
      <rPr>
        <b/>
        <sz val="12"/>
        <rFont val="Calibri"/>
        <family val="2"/>
        <charset val="1"/>
      </rPr>
      <t>Age &lt; 18yrs : Vskin =</t>
    </r>
    <r>
      <rPr>
        <sz val="12"/>
        <rFont val="Calibri"/>
        <family val="2"/>
        <charset val="1"/>
      </rPr>
      <t xml:space="preserve"> (-0.0992 x Age(y)⁴ + 4.2762 x Age(y)³ – 62.165 x Age(y)² + 432.78 x Age(y) + 203.2) / 1000
</t>
    </r>
    <r>
      <rPr>
        <b/>
        <sz val="12"/>
        <rFont val="Calibri"/>
        <family val="2"/>
        <charset val="1"/>
      </rPr>
      <t>Age ≥ 18yrs : Vskin =</t>
    </r>
    <r>
      <rPr>
        <sz val="12"/>
        <rFont val="Calibri"/>
        <family val="2"/>
        <charset val="1"/>
      </rPr>
      <t xml:space="preserve"> 2.38</t>
    </r>
  </si>
  <si>
    <r>
      <rPr>
        <b/>
        <sz val="12"/>
        <rFont val="Calibri"/>
        <family val="2"/>
        <charset val="1"/>
      </rPr>
      <t>Age &lt; 18yrs : Vskin =</t>
    </r>
    <r>
      <rPr>
        <sz val="12"/>
        <rFont val="Calibri"/>
        <family val="2"/>
        <charset val="1"/>
      </rPr>
      <t xml:space="preserve"> (4.75522e⁻³ x Age(y)⁵ – 0.27924 x Age(y)⁴ + 6.3444 x Age(y)³ – 70.113 x Age(y)² + 429.85 x Age(y) + 252.06) / 1000
</t>
    </r>
    <r>
      <rPr>
        <b/>
        <sz val="12"/>
        <rFont val="Calibri"/>
        <family val="2"/>
        <charset val="1"/>
      </rPr>
      <t>Age ≥ 18yrs : Vskin =</t>
    </r>
    <r>
      <rPr>
        <sz val="12"/>
        <rFont val="Calibri"/>
        <family val="2"/>
        <charset val="1"/>
      </rPr>
      <t xml:space="preserve"> 1.97</t>
    </r>
  </si>
  <si>
    <r>
      <rPr>
        <b/>
        <sz val="12"/>
        <rFont val="Calibri"/>
        <family val="2"/>
        <charset val="1"/>
      </rPr>
      <t>Vskin =</t>
    </r>
    <r>
      <rPr>
        <sz val="12"/>
        <rFont val="Calibri"/>
        <family val="2"/>
        <charset val="1"/>
      </rPr>
      <t xml:space="preserve"> Vdermis + Vepidermis
</t>
    </r>
    <r>
      <rPr>
        <b/>
        <sz val="12"/>
        <rFont val="Calibri"/>
        <family val="2"/>
        <charset val="1"/>
      </rPr>
      <t>Age &lt; 10yrs : Vdermis =</t>
    </r>
    <r>
      <rPr>
        <sz val="12"/>
        <rFont val="Calibri"/>
        <family val="2"/>
        <charset val="1"/>
      </rPr>
      <t xml:space="preserve"> 0.664 x BSA(m²)
</t>
    </r>
    <r>
      <rPr>
        <b/>
        <sz val="12"/>
        <rFont val="Calibri"/>
        <family val="2"/>
        <charset val="1"/>
      </rPr>
      <t>Age ≥ 10yrs and &lt; 20yrs : Vdermis =</t>
    </r>
    <r>
      <rPr>
        <sz val="12"/>
        <rFont val="Calibri"/>
        <family val="2"/>
        <charset val="1"/>
      </rPr>
      <t xml:space="preserve"> -9.356e⁻⁵ – 2.151e⁻⁵ x Age(y) – 5.058e⁻¹ x BSA(m²) + 1.134e⁻⁶ x Age(y)² + 0.1170 x Age(y) x BSA(m²) – 1.673e⁻⁵ x BSA(m²)²
</t>
    </r>
    <r>
      <rPr>
        <b/>
        <sz val="12"/>
        <rFont val="Calibri"/>
        <family val="2"/>
        <charset val="1"/>
      </rPr>
      <t>Age ≥ 20yrs : Vdermis =</t>
    </r>
    <r>
      <rPr>
        <sz val="12"/>
        <rFont val="Calibri"/>
        <family val="2"/>
        <charset val="1"/>
      </rPr>
      <t xml:space="preserve"> 1.834 x BSA(m²)
</t>
    </r>
    <r>
      <rPr>
        <b/>
        <sz val="12"/>
        <rFont val="Calibri"/>
        <family val="2"/>
        <charset val="1"/>
      </rPr>
      <t xml:space="preserve">Vepidermis = </t>
    </r>
    <r>
      <rPr>
        <sz val="12"/>
        <rFont val="Calibri"/>
        <family val="2"/>
        <charset val="1"/>
      </rPr>
      <t>7.850e⁻² x BSA(m²)</t>
    </r>
    <r>
      <rPr>
        <vertAlign val="superscript"/>
        <sz val="12"/>
        <rFont val="Calibri"/>
        <family val="2"/>
        <charset val="1"/>
      </rPr>
      <t>1.049</t>
    </r>
  </si>
  <si>
    <r>
      <rPr>
        <b/>
        <sz val="12"/>
        <color rgb="FF000000"/>
        <rFont val="Calibri"/>
        <family val="2"/>
      </rPr>
      <t>Vskin =</t>
    </r>
    <r>
      <rPr>
        <sz val="12"/>
        <color rgb="FF000000"/>
        <rFont val="Calibri"/>
        <family val="2"/>
      </rPr>
      <t xml:space="preserve"> Vdermis + Vepidermis
</t>
    </r>
    <r>
      <rPr>
        <b/>
        <sz val="12"/>
        <color rgb="FF000000"/>
        <rFont val="Calibri"/>
        <family val="2"/>
      </rPr>
      <t>Age &lt; 10yrs : Vdermis =</t>
    </r>
    <r>
      <rPr>
        <sz val="12"/>
        <color rgb="FF000000"/>
        <rFont val="Calibri"/>
        <family val="2"/>
      </rPr>
      <t xml:space="preserve"> 0.664 x BSA(m²)
</t>
    </r>
    <r>
      <rPr>
        <b/>
        <sz val="12"/>
        <color rgb="FF000000"/>
        <rFont val="Calibri"/>
        <family val="2"/>
      </rPr>
      <t>Age ≥ 10yrs and &lt; 20yrs : Vdermis =</t>
    </r>
    <r>
      <rPr>
        <sz val="12"/>
        <color rgb="FF000000"/>
        <rFont val="Calibri"/>
        <family val="2"/>
      </rPr>
      <t xml:space="preserve"> -9.356e⁻⁵ – 2.151e⁻⁵ x Age(y) – 5.058e⁻¹ x BSA(m²) + 1.134e⁻⁶ x Age(y)² + 0.1170 x Age(y) x BSA(m²) – 1.673e⁻⁵ x BSA(m²)²
</t>
    </r>
    <r>
      <rPr>
        <b/>
        <sz val="12"/>
        <color rgb="FF000000"/>
        <rFont val="Calibri"/>
        <family val="2"/>
      </rPr>
      <t>Age ≥ 20yrs : Vdermis =</t>
    </r>
    <r>
      <rPr>
        <sz val="12"/>
        <color rgb="FF000000"/>
        <rFont val="Calibri"/>
        <family val="2"/>
      </rPr>
      <t xml:space="preserve"> 1.834 x BSA(m²)
</t>
    </r>
    <r>
      <rPr>
        <b/>
        <sz val="12"/>
        <color rgb="FF000000"/>
        <rFont val="Calibri"/>
        <family val="2"/>
      </rPr>
      <t xml:space="preserve">Vepidermis = </t>
    </r>
    <r>
      <rPr>
        <sz val="12"/>
        <color rgb="FF000000"/>
        <rFont val="Calibri"/>
        <family val="2"/>
      </rPr>
      <t>7.850e⁻² x BSA(m²)^1.049</t>
    </r>
  </si>
  <si>
    <r>
      <rPr>
        <b/>
        <sz val="12"/>
        <rFont val="Calibri"/>
        <family val="2"/>
        <charset val="1"/>
      </rPr>
      <t>Age &lt; 20yrs : Vskin =</t>
    </r>
    <r>
      <rPr>
        <sz val="12"/>
        <rFont val="Calibri"/>
        <family val="2"/>
        <charset val="1"/>
      </rPr>
      <t xml:space="preserve"> (-1.171e⁻⁵ x Age(y)³ + 5.413e⁻⁴ x Age(y)² – 6.1966e⁻³ x Age(y) + 4.623e⁻³) x BW(kg)
</t>
    </r>
    <r>
      <rPr>
        <b/>
        <sz val="12"/>
        <rFont val="Calibri"/>
        <family val="2"/>
        <charset val="1"/>
      </rPr>
      <t>Age ≥ 20yrs : Vskin =</t>
    </r>
    <r>
      <rPr>
        <sz val="12"/>
        <rFont val="Calibri"/>
        <family val="2"/>
        <charset val="1"/>
      </rPr>
      <t xml:space="preserve"> 0.0452 x BW(kg)</t>
    </r>
  </si>
  <si>
    <r>
      <rPr>
        <b/>
        <sz val="12"/>
        <rFont val="Calibri"/>
        <family val="2"/>
        <charset val="1"/>
      </rPr>
      <t>Age &lt; 20yrs : Vskin =</t>
    </r>
    <r>
      <rPr>
        <sz val="12"/>
        <rFont val="Calibri"/>
        <family val="2"/>
        <charset val="1"/>
      </rPr>
      <t xml:space="preserve"> (-7.8882e⁻⁶ x Age(y)³ + 4.0224e⁻⁴ x Age(y)² – 5.2146e⁻³ x Age(y) + 4.5605e⁻²) x BW(kg)
</t>
    </r>
    <r>
      <rPr>
        <b/>
        <sz val="12"/>
        <rFont val="Calibri"/>
        <family val="2"/>
        <charset val="1"/>
      </rPr>
      <t>Age ≥ 20yrs : Vskin =</t>
    </r>
    <r>
      <rPr>
        <sz val="12"/>
        <rFont val="Calibri"/>
        <family val="2"/>
        <charset val="1"/>
      </rPr>
      <t xml:space="preserve"> 0.0383 x BW(kg)</t>
    </r>
  </si>
  <si>
    <r>
      <rPr>
        <b/>
        <sz val="12"/>
        <rFont val="Calibri"/>
        <family val="2"/>
        <charset val="1"/>
      </rPr>
      <t>Vskin =</t>
    </r>
    <r>
      <rPr>
        <sz val="12"/>
        <rFont val="Calibri"/>
        <family val="2"/>
        <charset val="1"/>
      </rPr>
      <t xml:space="preserve"> (1.03e⁻¹ – 2.56e⁻⁶ x BW(g) + 3.68e⁻¹¹ x BW(g)² – 2.58e⁻¹⁶ x BW(g)³ + 8.62e⁻²² x BW(g)⁴ – 1.1e⁻²⁷ x BW(g)⁵) x BW(kg)</t>
    </r>
  </si>
  <si>
    <r>
      <rPr>
        <b/>
        <sz val="12"/>
        <rFont val="Calibri"/>
        <family val="2"/>
        <charset val="1"/>
      </rPr>
      <t>Vskin =</t>
    </r>
    <r>
      <rPr>
        <sz val="12"/>
        <rFont val="Calibri"/>
        <family val="2"/>
        <charset val="1"/>
      </rPr>
      <t xml:space="preserve"> exp(1.64 x BSA(m²) – 1.93) / 1.116</t>
    </r>
  </si>
  <si>
    <r>
      <rPr>
        <b/>
        <sz val="12"/>
        <color rgb="FF000000"/>
        <rFont val="Calibri"/>
        <family val="2"/>
      </rPr>
      <t xml:space="preserve">Age &lt; 18yrs : Vskin = </t>
    </r>
    <r>
      <rPr>
        <sz val="12"/>
        <color rgb="FF000000"/>
        <rFont val="Calibri"/>
        <family val="2"/>
      </rPr>
      <t xml:space="preserve">(2.88e⁻¹ x Age(h) + 2.71e⁻¹ x Age(h)^9.98e-1 + 2.00e²) / 25000
</t>
    </r>
    <r>
      <rPr>
        <b/>
        <sz val="12"/>
        <color rgb="FF000000"/>
        <rFont val="Calibri"/>
        <family val="2"/>
      </rPr>
      <t>Age ≥ 18yrs : Vskin =</t>
    </r>
    <r>
      <rPr>
        <sz val="12"/>
        <color rgb="FF000000"/>
        <rFont val="Calibri"/>
        <family val="2"/>
      </rPr>
      <t xml:space="preserve">  3.49</t>
    </r>
  </si>
  <si>
    <r>
      <rPr>
        <b/>
        <sz val="12"/>
        <rFont val="Calibri"/>
        <family val="2"/>
        <charset val="1"/>
      </rPr>
      <t>Vskin =</t>
    </r>
    <r>
      <rPr>
        <sz val="12"/>
        <rFont val="Calibri"/>
        <family val="2"/>
        <charset val="1"/>
      </rPr>
      <t xml:space="preserve"> BSA(cm²) x 0.15 / 1000</t>
    </r>
  </si>
  <si>
    <t>Clewell et al. 2004</t>
  </si>
  <si>
    <t>Spleen (in L)</t>
  </si>
  <si>
    <r>
      <rPr>
        <b/>
        <sz val="12"/>
        <rFont val="Calibri"/>
        <family val="2"/>
        <charset val="1"/>
      </rPr>
      <t>Age &lt; 18yrs : Vspleen =</t>
    </r>
    <r>
      <rPr>
        <sz val="12"/>
        <rFont val="Calibri"/>
        <family val="2"/>
        <charset val="1"/>
      </rPr>
      <t xml:space="preserve"> (-0.0091 x Age(y)⁴ + 0.3457 x Age(y)³ – 4.0754 x Age(y)² + 22.269 x Age(y) + 11.05) / 1054
</t>
    </r>
    <r>
      <rPr>
        <b/>
        <sz val="12"/>
        <rFont val="Calibri"/>
        <family val="2"/>
        <charset val="1"/>
      </rPr>
      <t xml:space="preserve">Age ≥ 18yrs : Vspleen = </t>
    </r>
    <r>
      <rPr>
        <sz val="12"/>
        <rFont val="Calibri"/>
        <family val="2"/>
        <charset val="1"/>
      </rPr>
      <t>0.14</t>
    </r>
  </si>
  <si>
    <r>
      <rPr>
        <b/>
        <sz val="12"/>
        <rFont val="Calibri"/>
        <family val="2"/>
        <charset val="1"/>
      </rPr>
      <t>Age &lt; 18yrs : Vspleen =</t>
    </r>
    <r>
      <rPr>
        <sz val="12"/>
        <rFont val="Calibri"/>
        <family val="2"/>
        <charset val="1"/>
      </rPr>
      <t xml:space="preserve"> (6.3696e⁻⁴ x Age(y)⁵ – 3.5327e⁻² x Age(y)⁴ + 0.7073 x Age(y)³ – 6.0357 x Age(y)² + 26.311 x Age(y) + 8.1692) / 1054
</t>
    </r>
    <r>
      <rPr>
        <b/>
        <sz val="12"/>
        <rFont val="Calibri"/>
        <family val="2"/>
        <charset val="1"/>
      </rPr>
      <t xml:space="preserve">Age ≥ 18yrs : Vspleen = </t>
    </r>
    <r>
      <rPr>
        <sz val="12"/>
        <rFont val="Calibri"/>
        <family val="2"/>
        <charset val="1"/>
      </rPr>
      <t>0.15</t>
    </r>
  </si>
  <si>
    <r>
      <rPr>
        <b/>
        <sz val="12"/>
        <rFont val="Calibri"/>
        <family val="2"/>
        <charset val="1"/>
      </rPr>
      <t>Vspleen =</t>
    </r>
    <r>
      <rPr>
        <sz val="12"/>
        <rFont val="Calibri"/>
        <family val="2"/>
        <charset val="1"/>
      </rPr>
      <t xml:space="preserve"> 0.0021 x BW(kg)</t>
    </r>
  </si>
  <si>
    <r>
      <rPr>
        <b/>
        <sz val="12"/>
        <rFont val="Calibri"/>
        <family val="2"/>
        <charset val="1"/>
      </rPr>
      <t>Vspleen =</t>
    </r>
    <r>
      <rPr>
        <sz val="12"/>
        <rFont val="Calibri"/>
        <family val="2"/>
        <charset val="1"/>
      </rPr>
      <t xml:space="preserve"> 0.0022 x BW(kg)</t>
    </r>
  </si>
  <si>
    <r>
      <rPr>
        <b/>
        <sz val="12"/>
        <rFont val="Calibri"/>
        <family val="2"/>
        <charset val="1"/>
      </rPr>
      <t>Vspleen =</t>
    </r>
    <r>
      <rPr>
        <sz val="12"/>
        <rFont val="Calibri"/>
        <family val="2"/>
        <charset val="1"/>
      </rPr>
      <t xml:space="preserve"> (3.12e⁻³ – 5.57e⁻⁹ x BW(g)) x BW(kg)</t>
    </r>
  </si>
  <si>
    <r>
      <rPr>
        <b/>
        <sz val="12"/>
        <rFont val="Calibri"/>
        <family val="2"/>
        <charset val="1"/>
      </rPr>
      <t>Vspleen =</t>
    </r>
    <r>
      <rPr>
        <sz val="12"/>
        <rFont val="Calibri"/>
        <family val="2"/>
        <charset val="1"/>
      </rPr>
      <t xml:space="preserve"> (8.74 x HT(m) x sqrt(BW(kg)) + 11.06) / 1054</t>
    </r>
  </si>
  <si>
    <r>
      <rPr>
        <b/>
        <sz val="12"/>
        <rFont val="Calibri"/>
        <family val="2"/>
        <charset val="1"/>
      </rPr>
      <t>Vspleen =</t>
    </r>
    <r>
      <rPr>
        <sz val="12"/>
        <rFont val="Calibri"/>
        <family val="2"/>
        <charset val="1"/>
      </rPr>
      <t xml:space="preserve"> (9.36 x HT(m) x sqrt(BW(kg)) + 7.98) / 1054</t>
    </r>
  </si>
  <si>
    <t>Fat (in L)</t>
  </si>
  <si>
    <r>
      <rPr>
        <b/>
        <sz val="12"/>
        <color rgb="FF000000"/>
        <rFont val="Calibri"/>
      </rPr>
      <t>Age &lt; 18yrs : Vfat =</t>
    </r>
    <r>
      <rPr>
        <sz val="12"/>
        <color rgb="FF000000"/>
        <rFont val="Calibri"/>
      </rPr>
      <t xml:space="preserve"> (0.0165 x Age(y)⁵ – 1.9784 x Age(y)⁴ + 51.963 x Age(y)³ – 459.39 x Age(y)² + 1566.8 x Age(y) + 1004.2) / 1000
</t>
    </r>
    <r>
      <rPr>
        <b/>
        <sz val="12"/>
        <color rgb="FF000000"/>
        <rFont val="Calibri"/>
      </rPr>
      <t>Age ≥ 18yrs : Vfat =</t>
    </r>
    <r>
      <rPr>
        <sz val="12"/>
        <color rgb="FF000000"/>
        <rFont val="Calibri"/>
      </rPr>
      <t xml:space="preserve"> 7,54</t>
    </r>
  </si>
  <si>
    <r>
      <rPr>
        <b/>
        <sz val="12"/>
        <color rgb="FF000000"/>
        <rFont val="Calibri"/>
      </rPr>
      <t>Age &lt; 18yrs : Vfat =</t>
    </r>
    <r>
      <rPr>
        <sz val="12"/>
        <color rgb="FF000000"/>
        <rFont val="Calibri"/>
      </rPr>
      <t xml:space="preserve"> (0.038 x Age(y)⁵ – 2.6629 x Age(y)⁴ + 60.433 x Age(y)³ – 479.37 x Age(y)² + 1592.3 x Age(y) + 912.36) / 1000
</t>
    </r>
    <r>
      <rPr>
        <b/>
        <sz val="12"/>
        <color rgb="FF000000"/>
        <rFont val="Calibri"/>
      </rPr>
      <t>Age ≥ 18yrs : Vfat =</t>
    </r>
    <r>
      <rPr>
        <sz val="12"/>
        <color rgb="FF000000"/>
        <rFont val="Calibri"/>
      </rPr>
      <t xml:space="preserve"> 20,61</t>
    </r>
  </si>
  <si>
    <r>
      <rPr>
        <b/>
        <sz val="12"/>
        <color rgb="FF000000"/>
        <rFont val="Calibri"/>
      </rPr>
      <t>Age &lt; 18yrs : Vfat =</t>
    </r>
    <r>
      <rPr>
        <sz val="12"/>
        <color rgb="FF000000"/>
        <rFont val="Calibri"/>
      </rPr>
      <t xml:space="preserve"> (0.0165 x Age(y)⁵ – 1.9784 x Age(y)⁴ + 51.963 x Age(y)³ – 459.39 x Age(y)² + 1566.8 x Age(y) + 1004.2) / 1000
</t>
    </r>
    <r>
      <rPr>
        <b/>
        <sz val="12"/>
        <color rgb="FF000000"/>
        <rFont val="Calibri"/>
      </rPr>
      <t>Age ≥ 18yrs : Vfat =</t>
    </r>
    <r>
      <rPr>
        <sz val="12"/>
        <color rgb="FF000000"/>
        <rFont val="Calibri"/>
      </rPr>
      <t xml:space="preserve"> 6.91</t>
    </r>
  </si>
  <si>
    <r>
      <rPr>
        <b/>
        <sz val="12"/>
        <rFont val="Calibri"/>
        <family val="2"/>
        <charset val="1"/>
      </rPr>
      <t>Vfat =</t>
    </r>
    <r>
      <rPr>
        <sz val="12"/>
        <rFont val="Calibri"/>
        <family val="2"/>
        <charset val="1"/>
      </rPr>
      <t xml:space="preserve"> (3.484e⁻² + 2.803e⁻⁵ x BW(g) – 1.422e⁻⁹ x BW(g)² + 2.892e⁻¹⁴ x BW(g)³ – 2.718e⁻¹⁹ x BW(g)⁴ + 1.203e⁻²⁴ x BW(g)⁵ – 2.036e⁻³⁰ x BW(kg)⁶ ) x BW(kg)</t>
    </r>
  </si>
  <si>
    <r>
      <rPr>
        <b/>
        <sz val="12"/>
        <rFont val="Calibri"/>
        <family val="2"/>
        <charset val="1"/>
      </rPr>
      <t>Vfat =</t>
    </r>
    <r>
      <rPr>
        <sz val="12"/>
        <rFont val="Calibri"/>
        <family val="2"/>
        <charset val="1"/>
      </rPr>
      <t xml:space="preserve"> (9.217e⁻² + 1.401e⁻⁵ x BW(g) – 6.787e⁻¹⁰ x BW(g)² + 1.54e⁻¹⁴ x BW(g)³ – 1.558e⁻¹⁹ x BW(g)⁴ + 7.249e⁻²⁵ x BW(g)⁵ – 1.274e⁻³⁰ x BW(kg)⁶ ) x BW(kg)</t>
    </r>
  </si>
  <si>
    <r>
      <rPr>
        <b/>
        <sz val="12"/>
        <color rgb="FF000000"/>
        <rFont val="Calibri"/>
      </rPr>
      <t>Age ≤ 25yrs : Vfat =</t>
    </r>
    <r>
      <rPr>
        <sz val="12"/>
        <color rgb="FF000000"/>
        <rFont val="Calibri"/>
      </rPr>
      <t xml:space="preserve"> ((1.5334 x exp(-0.103 x Age(y)) + 0.67) x BMI + 0.6276 x Age(y) + 1.0301) x BW(kg) /100
</t>
    </r>
    <r>
      <rPr>
        <b/>
        <sz val="12"/>
        <color rgb="FF000000"/>
        <rFont val="Calibri"/>
      </rPr>
      <t>Age &gt; 25yrs : Vfat =</t>
    </r>
    <r>
      <rPr>
        <sz val="12"/>
        <color rgb="FF000000"/>
        <rFont val="Calibri"/>
      </rPr>
      <t xml:space="preserve"> (1.9224 x BMI – 0.018517 x BMI² + 0.05537 x Age(y) – 0.794894) x BW(kg)/100</t>
    </r>
  </si>
  <si>
    <t>CDC 2014</t>
  </si>
  <si>
    <r>
      <rPr>
        <b/>
        <sz val="12"/>
        <rFont val="Calibri"/>
        <family val="2"/>
        <charset val="1"/>
      </rPr>
      <t>Age &lt; 25yrs : Vfat =</t>
    </r>
    <r>
      <rPr>
        <sz val="12"/>
        <rFont val="Calibri"/>
        <family val="2"/>
        <charset val="1"/>
      </rPr>
      <t xml:space="preserve"> ((1.4471 x exp(-0.0761xAge(y)) + 0.52) x BMI - 0.10124 x Age(y) + 5.0465) x BW(kg)/100
</t>
    </r>
    <r>
      <rPr>
        <b/>
        <sz val="12"/>
        <rFont val="Calibri"/>
        <family val="2"/>
        <charset val="1"/>
      </rPr>
      <t>Age ≥ 25 yrs: Vfat =</t>
    </r>
    <r>
      <rPr>
        <sz val="12"/>
        <rFont val="Calibri"/>
        <family val="2"/>
        <charset val="1"/>
      </rPr>
      <t xml:space="preserve"> (-6.0487 x BMI + 0.1177 x BMI² + 0.03155 x Age(y) + 97.2025) x 0.979 x BW(kg)/100</t>
    </r>
  </si>
  <si>
    <r>
      <rPr>
        <b/>
        <sz val="12"/>
        <rFont val="Calibri"/>
        <family val="2"/>
        <charset val="1"/>
      </rPr>
      <t>Age &lt; 25yrs : Vfat =</t>
    </r>
    <r>
      <rPr>
        <sz val="12"/>
        <rFont val="Calibri"/>
        <family val="2"/>
        <charset val="1"/>
      </rPr>
      <t xml:space="preserve"> ((1.5334 x exp(-0.103xAge(y)) + 0.67) x BMI + 0.6276 x Age(y) + 1.0301) x BW(kg) / 100
</t>
    </r>
    <r>
      <rPr>
        <b/>
        <sz val="12"/>
        <rFont val="Calibri"/>
        <family val="2"/>
        <charset val="1"/>
      </rPr>
      <t>Age ≥ 25 yrs: Vfat =</t>
    </r>
    <r>
      <rPr>
        <sz val="12"/>
        <rFont val="Calibri"/>
        <family val="2"/>
        <charset val="1"/>
      </rPr>
      <t xml:space="preserve"> (1.9224 x BMI – 0.018517 x BMI² + 0.05537 x Age(y) – 0.794894)*0.979 x BW(kg) / 100</t>
    </r>
  </si>
  <si>
    <r>
      <rPr>
        <b/>
        <sz val="12"/>
        <color rgb="FF000000"/>
        <rFont val="Calibri"/>
      </rPr>
      <t xml:space="preserve">Age &lt; 18yrs : Vfat = </t>
    </r>
    <r>
      <rPr>
        <sz val="12"/>
        <color rgb="FF000000"/>
        <rFont val="Calibri"/>
      </rPr>
      <t xml:space="preserve">(2.54e⁻² x Age(h) + 1.88e¹ x Age(h)^5.20e-1 + 9.06e²) / 1000
</t>
    </r>
    <r>
      <rPr>
        <b/>
        <sz val="12"/>
        <color rgb="FF000000"/>
        <rFont val="Calibri"/>
      </rPr>
      <t>Age ≥ 18yrs : Vfat =</t>
    </r>
    <r>
      <rPr>
        <sz val="12"/>
        <color rgb="FF000000"/>
        <rFont val="Calibri"/>
      </rPr>
      <t xml:space="preserve"> 14.40</t>
    </r>
  </si>
  <si>
    <r>
      <rPr>
        <b/>
        <sz val="12"/>
        <rFont val="Calibri"/>
        <family val="2"/>
        <charset val="1"/>
      </rPr>
      <t>Age &lt; 20yrs : Vfat =</t>
    </r>
    <r>
      <rPr>
        <sz val="12"/>
        <rFont val="Calibri"/>
        <family val="2"/>
        <charset val="1"/>
      </rPr>
      <t xml:space="preserve"> ((2.8975 x exp(-0.129 x Age(y)) + 0.67) x BMI + 0.2635 x Age(y) – 4.843) x BW(kg) / 100
</t>
    </r>
    <r>
      <rPr>
        <b/>
        <sz val="12"/>
        <rFont val="Calibri"/>
        <family val="2"/>
        <charset val="1"/>
      </rPr>
      <t>Age ≥ 20 yrs: Vfat =</t>
    </r>
    <r>
      <rPr>
        <sz val="12"/>
        <rFont val="Calibri"/>
        <family val="2"/>
        <charset val="1"/>
      </rPr>
      <t xml:space="preserve"> (-5.33798 x BMI + 0.11149 x BMI² + 0.09795 x Age(y) + 85.24521) x BW(kg) / 100</t>
    </r>
  </si>
  <si>
    <r>
      <rPr>
        <b/>
        <sz val="12"/>
        <color rgb="FF000000"/>
        <rFont val="Calibri"/>
      </rPr>
      <t>Age &lt; 25yrs : Vfat =</t>
    </r>
    <r>
      <rPr>
        <sz val="12"/>
        <color rgb="FF000000"/>
        <rFont val="Calibri"/>
      </rPr>
      <t xml:space="preserve"> ((1.5334 x exp(-0.103xAge(y)) + 0.67) x BMI + 0.6276 x Age(y) + 1.0301) x BW(kg) / 100
</t>
    </r>
    <r>
      <rPr>
        <b/>
        <sz val="12"/>
        <color rgb="FF000000"/>
        <rFont val="Calibri"/>
      </rPr>
      <t>Age ≥ 25 yrs: Vfat =</t>
    </r>
    <r>
      <rPr>
        <sz val="12"/>
        <color rgb="FF000000"/>
        <rFont val="Calibri"/>
      </rPr>
      <t xml:space="preserve"> (1.9224 x BMI – 0.018517 x BMI² + 0.05537 x Age(y) – 0.794894) x BW(kg) / 100</t>
    </r>
  </si>
  <si>
    <r>
      <rPr>
        <b/>
        <sz val="12"/>
        <rFont val="Calibri"/>
        <family val="2"/>
        <charset val="1"/>
      </rPr>
      <t xml:space="preserve">Vfat = </t>
    </r>
    <r>
      <rPr>
        <sz val="12"/>
        <rFont val="Calibri"/>
        <family val="2"/>
        <charset val="1"/>
      </rPr>
      <t>1.3054356 + 0.3622685 x Age(y) – 0.0025165 x Age(y)² + 0.0906119 x BW(kg) + 0.0001731 x BW(kg)²</t>
    </r>
  </si>
  <si>
    <r>
      <rPr>
        <b/>
        <sz val="12"/>
        <rFont val="Calibri"/>
        <family val="2"/>
        <charset val="1"/>
      </rPr>
      <t xml:space="preserve">Vfat = </t>
    </r>
    <r>
      <rPr>
        <sz val="12"/>
        <rFont val="Calibri"/>
        <family val="2"/>
        <charset val="1"/>
      </rPr>
      <t>6.132e⁻¹ + 8.475e⁻² x Age(y) + 8.151e⁻⁵ x Age(y)² + 1.341e⁻¹ x BW(kg) + 2.297e⁻³ x BW(kg)²</t>
    </r>
  </si>
  <si>
    <t>Adrenals (in L)</t>
  </si>
  <si>
    <r>
      <rPr>
        <b/>
        <sz val="12"/>
        <rFont val="Calibri"/>
        <family val="2"/>
        <charset val="1"/>
      </rPr>
      <t>Vadrenals =</t>
    </r>
    <r>
      <rPr>
        <sz val="12"/>
        <rFont val="Calibri"/>
        <family val="2"/>
        <charset val="1"/>
      </rPr>
      <t xml:space="preserve"> (2.e⁻⁴ + (1.71e⁻³ – 2.0e⁻⁴) x exp(-2.02 x Age(y))) x BW(kg)</t>
    </r>
  </si>
  <si>
    <t>Breast (in L)</t>
  </si>
  <si>
    <r>
      <rPr>
        <b/>
        <sz val="12"/>
        <color rgb="FF000000"/>
        <rFont val="Calibri"/>
      </rPr>
      <t>Vbreast =</t>
    </r>
    <r>
      <rPr>
        <sz val="12"/>
        <color rgb="FF000000"/>
        <rFont val="Calibri"/>
      </rPr>
      <t xml:space="preserve"> 0,0062 x BW(kg)</t>
    </r>
  </si>
  <si>
    <r>
      <rPr>
        <b/>
        <sz val="12"/>
        <color rgb="FF000000"/>
        <rFont val="Calibri"/>
        <family val="2"/>
      </rPr>
      <t>Vbreast =</t>
    </r>
    <r>
      <rPr>
        <sz val="12"/>
        <color rgb="FF000000"/>
        <rFont val="Calibri"/>
        <family val="2"/>
      </rPr>
      <t xml:space="preserve"> (3.42e⁻⁴ x (1 / (1+exp(-1.42 x Age(y) + 20.1)))) x BW(kg)</t>
    </r>
  </si>
  <si>
    <r>
      <rPr>
        <b/>
        <sz val="12"/>
        <color rgb="FF000000"/>
        <rFont val="Calibri"/>
        <family val="2"/>
      </rPr>
      <t>Vbreast =</t>
    </r>
    <r>
      <rPr>
        <sz val="12"/>
        <color rgb="FF000000"/>
        <rFont val="Calibri"/>
        <family val="2"/>
      </rPr>
      <t xml:space="preserve"> (0,00833 x (1 / (1+exp(-1.92 x Age(y) + 28.6)))) x BW(kg)</t>
    </r>
  </si>
  <si>
    <t>Intestine / Gut (in L)</t>
  </si>
  <si>
    <r>
      <rPr>
        <b/>
        <sz val="12"/>
        <rFont val="Calibri"/>
        <family val="2"/>
        <charset val="1"/>
      </rPr>
      <t>Age &lt; 18yrs : Vgut =</t>
    </r>
    <r>
      <rPr>
        <sz val="12"/>
        <rFont val="Calibri"/>
        <family val="2"/>
        <charset val="1"/>
      </rPr>
      <t xml:space="preserve"> (-4.7817e⁻² x Age(y) ⁴ + 1.925 x Age(y)³ – 22.382 x Age(y)² + 107.09 x Age(y) + 51.125) / 1040
</t>
    </r>
    <r>
      <rPr>
        <b/>
        <sz val="12"/>
        <rFont val="Calibri"/>
        <family val="2"/>
        <charset val="1"/>
      </rPr>
      <t>Age ≥ 18yrs : Vgut =</t>
    </r>
    <r>
      <rPr>
        <sz val="12"/>
        <rFont val="Calibri"/>
        <family val="2"/>
        <charset val="1"/>
      </rPr>
      <t xml:space="preserve"> 0.90</t>
    </r>
  </si>
  <si>
    <r>
      <rPr>
        <b/>
        <sz val="12"/>
        <rFont val="Calibri"/>
        <family val="2"/>
        <charset val="1"/>
      </rPr>
      <t>Age &lt; 18yrs : Vgut =</t>
    </r>
    <r>
      <rPr>
        <sz val="12"/>
        <rFont val="Calibri"/>
        <family val="2"/>
        <charset val="1"/>
      </rPr>
      <t xml:space="preserve"> (-0.0513 x Age(y) ⁴ + 2.0352 x Age(y)³ – 23.478 x Age(y)² + 110.61 x Age(y) + 49.229) / 1040
</t>
    </r>
    <r>
      <rPr>
        <b/>
        <sz val="12"/>
        <rFont val="Calibri"/>
        <family val="2"/>
        <charset val="1"/>
      </rPr>
      <t>Age ≥ 18yrs : Vgut =</t>
    </r>
    <r>
      <rPr>
        <sz val="12"/>
        <rFont val="Calibri"/>
        <family val="2"/>
        <charset val="1"/>
      </rPr>
      <t xml:space="preserve"> 0.92</t>
    </r>
  </si>
  <si>
    <r>
      <rPr>
        <b/>
        <sz val="12"/>
        <rFont val="Calibri"/>
        <family val="2"/>
        <charset val="1"/>
      </rPr>
      <t>Age &lt; 16yrs : Vgut =</t>
    </r>
    <r>
      <rPr>
        <sz val="12"/>
        <rFont val="Calibri"/>
        <family val="2"/>
        <charset val="1"/>
      </rPr>
      <t xml:space="preserve"> (-8.2562e⁻⁵ x Age(y)² + 1.3523e⁻³ x Age(y) + 1.293e⁻²) x BW(kg)
</t>
    </r>
    <r>
      <rPr>
        <b/>
        <sz val="12"/>
        <rFont val="Calibri"/>
        <family val="2"/>
        <charset val="1"/>
      </rPr>
      <t>Age ≥ 16 yrs : Vgut =</t>
    </r>
    <r>
      <rPr>
        <sz val="12"/>
        <rFont val="Calibri"/>
        <family val="2"/>
        <charset val="1"/>
      </rPr>
      <t xml:space="preserve"> 0.014 x BW(kg)</t>
    </r>
  </si>
  <si>
    <r>
      <rPr>
        <b/>
        <sz val="12"/>
        <rFont val="Calibri"/>
        <family val="2"/>
        <charset val="1"/>
      </rPr>
      <t>Age &lt; 14.453301yrs : Vgut =</t>
    </r>
    <r>
      <rPr>
        <sz val="12"/>
        <rFont val="Calibri"/>
        <family val="2"/>
        <charset val="1"/>
      </rPr>
      <t xml:space="preserve"> (-7.421e⁻⁵ x Age(y)² + 1.276e⁻³ x Age(y) + 1.298e⁻²) x BW(kg)
</t>
    </r>
    <r>
      <rPr>
        <b/>
        <sz val="12"/>
        <rFont val="Calibri"/>
        <family val="2"/>
        <charset val="1"/>
      </rPr>
      <t>Age ≥ 14.453301 yrs : Vgut =</t>
    </r>
    <r>
      <rPr>
        <sz val="12"/>
        <rFont val="Calibri"/>
        <family val="2"/>
        <charset val="1"/>
      </rPr>
      <t xml:space="preserve"> 0.016 x BW(kg)</t>
    </r>
  </si>
  <si>
    <r>
      <rPr>
        <b/>
        <sz val="12"/>
        <rFont val="Calibri"/>
        <family val="2"/>
        <charset val="1"/>
      </rPr>
      <t>Vgut =</t>
    </r>
    <r>
      <rPr>
        <sz val="12"/>
        <rFont val="Calibri"/>
        <family val="2"/>
        <charset val="1"/>
      </rPr>
      <t xml:space="preserve"> 1.65e⁻² x BW(kg)</t>
    </r>
  </si>
  <si>
    <t>Brown et al. 1997</t>
  </si>
  <si>
    <r>
      <rPr>
        <b/>
        <sz val="12"/>
        <rFont val="Calibri"/>
        <family val="2"/>
        <charset val="1"/>
      </rPr>
      <t>Vgut =</t>
    </r>
    <r>
      <rPr>
        <sz val="12"/>
        <rFont val="Calibri"/>
        <family val="2"/>
        <charset val="1"/>
      </rPr>
      <t xml:space="preserve"> 0.027 x LBM
</t>
    </r>
    <r>
      <rPr>
        <b/>
        <sz val="12"/>
        <rFont val="Calibri"/>
        <family val="2"/>
        <charset val="1"/>
      </rPr>
      <t xml:space="preserve">LBM = </t>
    </r>
    <r>
      <rPr>
        <sz val="12"/>
        <rFont val="Calibri"/>
        <family val="2"/>
        <charset val="1"/>
      </rPr>
      <t>BW(kg) – Vfat(L)</t>
    </r>
  </si>
  <si>
    <r>
      <rPr>
        <b/>
        <sz val="12"/>
        <rFont val="Calibri"/>
        <family val="2"/>
        <charset val="1"/>
      </rPr>
      <t>Vgut =</t>
    </r>
    <r>
      <rPr>
        <sz val="12"/>
        <rFont val="Calibri"/>
        <family val="2"/>
        <charset val="1"/>
      </rPr>
      <t xml:space="preserve"> 0.021 x LBM
</t>
    </r>
    <r>
      <rPr>
        <b/>
        <sz val="12"/>
        <rFont val="Calibri"/>
        <family val="2"/>
        <charset val="1"/>
      </rPr>
      <t xml:space="preserve">LBM = </t>
    </r>
    <r>
      <rPr>
        <sz val="12"/>
        <rFont val="Calibri"/>
        <family val="2"/>
        <charset val="1"/>
      </rPr>
      <t>BW(kg) – Vfat(L)</t>
    </r>
  </si>
  <si>
    <r>
      <rPr>
        <b/>
        <sz val="12"/>
        <color rgb="FF000000"/>
        <rFont val="Calibri"/>
        <family val="2"/>
      </rPr>
      <t xml:space="preserve">Age &lt; 18yrs : Vgut = </t>
    </r>
    <r>
      <rPr>
        <sz val="12"/>
        <color rgb="FF000000"/>
        <rFont val="Calibri"/>
        <family val="2"/>
      </rPr>
      <t xml:space="preserve">(8.20e⁻² x Age(h) + 4.41e⁻² x Age(h)^1.04 + 9.00e¹) / 20000
</t>
    </r>
    <r>
      <rPr>
        <b/>
        <sz val="12"/>
        <color rgb="FF000000"/>
        <rFont val="Calibri"/>
        <family val="2"/>
      </rPr>
      <t>Age ≥ 18yrs : Vgut = 1.21</t>
    </r>
  </si>
  <si>
    <t>Heart (in L)</t>
  </si>
  <si>
    <r>
      <rPr>
        <b/>
        <sz val="12"/>
        <rFont val="Calibri"/>
        <family val="2"/>
        <charset val="1"/>
      </rPr>
      <t>Age &lt; 18yrs : Vheart =</t>
    </r>
    <r>
      <rPr>
        <sz val="12"/>
        <rFont val="Calibri"/>
        <family val="2"/>
        <charset val="1"/>
      </rPr>
      <t xml:space="preserve"> (-0.0132 x Age(y)⁴ + 0.5051 x Age(y)³ – 5.7113 x Age(y)² + 32.213 x Age(y) + 20.354) / 1030
</t>
    </r>
    <r>
      <rPr>
        <b/>
        <sz val="12"/>
        <rFont val="Calibri"/>
        <family val="2"/>
        <charset val="1"/>
      </rPr>
      <t>Age ≥ 18yrs : Vheart =</t>
    </r>
    <r>
      <rPr>
        <sz val="12"/>
        <rFont val="Calibri"/>
        <family val="2"/>
        <charset val="1"/>
      </rPr>
      <t xml:space="preserve"> 0.30</t>
    </r>
  </si>
  <si>
    <r>
      <rPr>
        <b/>
        <sz val="12"/>
        <rFont val="Calibri"/>
        <family val="2"/>
        <charset val="1"/>
      </rPr>
      <t>Age &lt; 18yrs : Vheart =</t>
    </r>
    <r>
      <rPr>
        <sz val="12"/>
        <rFont val="Calibri"/>
        <family val="2"/>
        <charset val="1"/>
      </rPr>
      <t xml:space="preserve"> (4.246e⁻⁴ x Age(y)⁵ – 2.97679e⁻² x Age(y)⁴ + 0.6539 x Age(y)³ – 5.5116 x Age(y)² + 28.486 x Age(y) + 21.509) / 1030
</t>
    </r>
    <r>
      <rPr>
        <b/>
        <sz val="12"/>
        <rFont val="Calibri"/>
        <family val="2"/>
        <charset val="1"/>
      </rPr>
      <t>Age ≥ 18yrs : Vheart =</t>
    </r>
    <r>
      <rPr>
        <sz val="12"/>
        <rFont val="Calibri"/>
        <family val="2"/>
        <charset val="1"/>
      </rPr>
      <t xml:space="preserve"> 0.24</t>
    </r>
  </si>
  <si>
    <r>
      <rPr>
        <b/>
        <sz val="12"/>
        <color rgb="FF000000"/>
        <rFont val="Calibri"/>
        <family val="2"/>
      </rPr>
      <t xml:space="preserve">Vheart = </t>
    </r>
    <r>
      <rPr>
        <sz val="12"/>
        <color rgb="FF000000"/>
        <rFont val="Calibri"/>
        <family val="2"/>
      </rPr>
      <t>1.017e⁻⁷ x (HT(cm)^0.6640 x BW(kg)^0.3851 x 242.7)^1.420</t>
    </r>
  </si>
  <si>
    <r>
      <rPr>
        <b/>
        <sz val="12"/>
        <color rgb="FF000000"/>
        <rFont val="Calibri"/>
        <family val="2"/>
      </rPr>
      <t xml:space="preserve">Vheart = </t>
    </r>
    <r>
      <rPr>
        <sz val="12"/>
        <color rgb="FF000000"/>
        <rFont val="Calibri"/>
        <family val="2"/>
      </rPr>
      <t>1.017e⁻⁷ x (HT(cm)^0.6862 x BW(kg)^0.3561 x 242.7)^1.420</t>
    </r>
  </si>
  <si>
    <r>
      <rPr>
        <b/>
        <sz val="12"/>
        <rFont val="Calibri"/>
        <family val="2"/>
        <charset val="1"/>
      </rPr>
      <t>Vheart =</t>
    </r>
    <r>
      <rPr>
        <sz val="12"/>
        <rFont val="Calibri"/>
        <family val="2"/>
        <charset val="1"/>
      </rPr>
      <t xml:space="preserve"> 0.0045 x BW(kg)</t>
    </r>
  </si>
  <si>
    <r>
      <rPr>
        <b/>
        <sz val="12"/>
        <rFont val="Calibri"/>
        <family val="2"/>
        <charset val="1"/>
      </rPr>
      <t>Vheart =</t>
    </r>
    <r>
      <rPr>
        <sz val="12"/>
        <rFont val="Calibri"/>
        <family val="2"/>
        <charset val="1"/>
      </rPr>
      <t xml:space="preserve"> 0.004167 x BW(kg)</t>
    </r>
  </si>
  <si>
    <r>
      <rPr>
        <b/>
        <sz val="12"/>
        <color rgb="FF000000"/>
        <rFont val="Calibri"/>
        <family val="2"/>
      </rPr>
      <t>Age &lt; 18yrs : Vheart =</t>
    </r>
    <r>
      <rPr>
        <sz val="12"/>
        <color rgb="FF000000"/>
        <rFont val="Calibri"/>
        <family val="2"/>
      </rPr>
      <t xml:space="preserve"> (4.68e⁻² x Age(h) – 3.81e⁻² x Age(h)^1.01 + 2.80e¹) / 2000
</t>
    </r>
    <r>
      <rPr>
        <b/>
        <sz val="12"/>
        <color rgb="FF000000"/>
        <rFont val="Calibri"/>
        <family val="2"/>
      </rPr>
      <t>Age ≥ 18yrs : Vheart =</t>
    </r>
    <r>
      <rPr>
        <sz val="12"/>
        <color rgb="FF000000"/>
        <rFont val="Calibri"/>
        <family val="2"/>
      </rPr>
      <t xml:space="preserve"> 0.32</t>
    </r>
  </si>
  <si>
    <t>Marrow</t>
  </si>
  <si>
    <r>
      <rPr>
        <b/>
        <sz val="12"/>
        <rFont val="Calibri"/>
        <family val="2"/>
        <charset val="1"/>
      </rPr>
      <t>Age &lt; 18yrs : Vmarrow =</t>
    </r>
    <r>
      <rPr>
        <sz val="12"/>
        <rFont val="Calibri"/>
        <family val="2"/>
        <charset val="1"/>
      </rPr>
      <t xml:space="preserve"> (1.9956e⁻³ x Age(y)⁶ – 0.11169 x Age(y)⁵ + 2.189 x Age(y)⁴ – 17.726 x Age(y)³ + 59.767 x Age(y)² + 14.405 x Age(y) + 73.716) / 1000
</t>
    </r>
    <r>
      <rPr>
        <b/>
        <sz val="12"/>
        <rFont val="Calibri"/>
        <family val="2"/>
        <charset val="1"/>
      </rPr>
      <t xml:space="preserve">Age ≥ 18yrs : Vmarrow = </t>
    </r>
    <r>
      <rPr>
        <sz val="12"/>
        <rFont val="Calibri"/>
        <family val="2"/>
        <charset val="1"/>
      </rPr>
      <t>2.94</t>
    </r>
  </si>
  <si>
    <r>
      <rPr>
        <b/>
        <sz val="12"/>
        <rFont val="Calibri"/>
        <family val="2"/>
        <charset val="1"/>
      </rPr>
      <t>Age &lt; 18yrs : Vmarrow =</t>
    </r>
    <r>
      <rPr>
        <sz val="12"/>
        <rFont val="Calibri"/>
        <family val="2"/>
        <charset val="1"/>
      </rPr>
      <t xml:space="preserve"> (7.984e⁻⁴ x Age(y)⁶ – 0.037966 x Age(y)⁵ + 0.5272 x Age(y)⁴ – 1.1311 x Age(y)³ – 12.285 x Age(y)² + 123.87 x Age(y) + 53.358) / 1000
</t>
    </r>
    <r>
      <rPr>
        <b/>
        <sz val="12"/>
        <rFont val="Calibri"/>
        <family val="2"/>
        <charset val="1"/>
      </rPr>
      <t xml:space="preserve">Age ≥ 18yrs : Vmarrow = </t>
    </r>
    <r>
      <rPr>
        <sz val="12"/>
        <rFont val="Calibri"/>
        <family val="2"/>
        <charset val="1"/>
      </rPr>
      <t>2.47</t>
    </r>
  </si>
  <si>
    <r>
      <rPr>
        <b/>
        <sz val="12"/>
        <rFont val="Calibri"/>
        <family val="2"/>
        <charset val="1"/>
      </rPr>
      <t>Vmarrow =</t>
    </r>
    <r>
      <rPr>
        <sz val="12"/>
        <rFont val="Calibri"/>
        <family val="2"/>
        <charset val="1"/>
      </rPr>
      <t xml:space="preserve"> (0.05 + (0.0138 – 0.05) x exp(-0.112 x Age(y))) x BW(kg)</t>
    </r>
  </si>
  <si>
    <r>
      <rPr>
        <b/>
        <sz val="12"/>
        <rFont val="Calibri"/>
        <family val="2"/>
        <charset val="1"/>
      </rPr>
      <t>Vmarrow =</t>
    </r>
    <r>
      <rPr>
        <sz val="12"/>
        <rFont val="Calibri"/>
        <family val="2"/>
        <charset val="1"/>
      </rPr>
      <t xml:space="preserve"> (0.045 + (0.0138 – 0.045) x exp(-0.136 x Age(y))) x BW(kg)</t>
    </r>
  </si>
  <si>
    <r>
      <rPr>
        <b/>
        <sz val="12"/>
        <rFont val="Calibri"/>
        <family val="2"/>
        <charset val="1"/>
      </rPr>
      <t>Vmarrow =</t>
    </r>
    <r>
      <rPr>
        <sz val="12"/>
        <rFont val="Calibri"/>
        <family val="2"/>
        <charset val="1"/>
      </rPr>
      <t xml:space="preserve"> 2.1e⁻² x BW(kg)</t>
    </r>
  </si>
  <si>
    <t>Gonads (in L)</t>
  </si>
  <si>
    <r>
      <rPr>
        <b/>
        <sz val="12"/>
        <rFont val="Calibri"/>
        <family val="2"/>
        <charset val="1"/>
      </rPr>
      <t xml:space="preserve">Age &lt; 18yrs : Vgonads = </t>
    </r>
    <r>
      <rPr>
        <sz val="12"/>
        <rFont val="Calibri"/>
        <family val="2"/>
        <charset val="1"/>
      </rPr>
      <t xml:space="preserve">(0.0013 x Age(y)⁴ - 0.01 x Age(y)³ - 0.0104 x Age(y)² + 1.0584 x Age(y) + 1.78) / 1050 
</t>
    </r>
    <r>
      <rPr>
        <b/>
        <sz val="12"/>
        <rFont val="Calibri"/>
        <family val="2"/>
        <charset val="1"/>
      </rPr>
      <t xml:space="preserve">Age ≥ 18yrs : Vgonads = </t>
    </r>
    <r>
      <rPr>
        <sz val="12"/>
        <rFont val="Calibri"/>
        <family val="2"/>
        <charset val="1"/>
      </rPr>
      <t>0.06</t>
    </r>
  </si>
  <si>
    <r>
      <rPr>
        <b/>
        <sz val="12"/>
        <rFont val="Calibri"/>
        <family val="2"/>
        <charset val="1"/>
      </rPr>
      <t xml:space="preserve">Age &lt; 18yrs : Vgonads = </t>
    </r>
    <r>
      <rPr>
        <sz val="12"/>
        <rFont val="Calibri"/>
        <family val="2"/>
        <charset val="1"/>
      </rPr>
      <t xml:space="preserve">(0.0044 x Age(y)³ + 0.0412 x Age(y)² + 0.2333 x Age(y) + 2.1725) / 1050 
</t>
    </r>
    <r>
      <rPr>
        <b/>
        <sz val="12"/>
        <rFont val="Calibri"/>
        <family val="2"/>
        <charset val="1"/>
      </rPr>
      <t xml:space="preserve">Age ≥ 18yrs : Vgonads = </t>
    </r>
    <r>
      <rPr>
        <sz val="12"/>
        <rFont val="Calibri"/>
        <family val="2"/>
        <charset val="1"/>
      </rPr>
      <t>0.05</t>
    </r>
  </si>
  <si>
    <r>
      <rPr>
        <b/>
        <sz val="12"/>
        <color rgb="FF000000"/>
        <rFont val="Calibri"/>
      </rPr>
      <t xml:space="preserve"> Vgonads = </t>
    </r>
    <r>
      <rPr>
        <sz val="12"/>
        <color rgb="FF000000"/>
        <rFont val="Calibri"/>
      </rPr>
      <t>0.0014 x BW(kg)</t>
    </r>
  </si>
  <si>
    <r>
      <rPr>
        <b/>
        <sz val="12"/>
        <rFont val="Calibri"/>
        <family val="2"/>
        <charset val="1"/>
      </rPr>
      <t>Age &lt; 20.1yrs : Vgonads =</t>
    </r>
    <r>
      <rPr>
        <sz val="12"/>
        <rFont val="Calibri"/>
        <family val="2"/>
        <charset val="1"/>
      </rPr>
      <t xml:space="preserve"> (-1.516e⁻⁷ x  Age(y)³ + 9.33351e⁻⁶ x Age(y)² – 1.1177e⁻⁴ x Age(y) + 4.7966e⁻⁴) x BW(kg)
</t>
    </r>
    <r>
      <rPr>
        <b/>
        <sz val="12"/>
        <rFont val="Calibri"/>
        <family val="2"/>
        <charset val="1"/>
      </rPr>
      <t>Age ≥ 20.1yrs : Vgonads =</t>
    </r>
    <r>
      <rPr>
        <sz val="12"/>
        <rFont val="Calibri"/>
        <family val="2"/>
        <charset val="1"/>
      </rPr>
      <t xml:space="preserve"> 0.0008 x BW(kg)</t>
    </r>
  </si>
  <si>
    <r>
      <rPr>
        <b/>
        <sz val="12"/>
        <rFont val="Calibri"/>
        <family val="2"/>
        <charset val="1"/>
      </rPr>
      <t xml:space="preserve">Age &lt; 1yrs : Vgonads = </t>
    </r>
    <r>
      <rPr>
        <sz val="12"/>
        <rFont val="Calibri"/>
        <family val="2"/>
        <charset val="1"/>
      </rPr>
      <t xml:space="preserve">(-1.064e⁻³ x Age(y) + 1.338e⁻³) x BW(kg)
</t>
    </r>
    <r>
      <rPr>
        <b/>
        <sz val="12"/>
        <rFont val="Calibri"/>
        <family val="2"/>
        <charset val="1"/>
      </rPr>
      <t>Age &gt;1 and &lt; 20yrs : Vgonads =</t>
    </r>
    <r>
      <rPr>
        <sz val="12"/>
        <rFont val="Calibri"/>
        <family val="2"/>
        <charset val="1"/>
      </rPr>
      <t xml:space="preserve"> (2.638e⁻⁷ x  Age(y)³ – 1.7943e⁻⁶ x Age(y)² – 5.6465e⁻⁶ x Age(y) + 2.8105e⁻⁴) x BW(kg)
</t>
    </r>
    <r>
      <rPr>
        <b/>
        <sz val="12"/>
        <rFont val="Calibri"/>
        <family val="2"/>
        <charset val="1"/>
      </rPr>
      <t>Age ≥ 20.1yrs : Vgonads =</t>
    </r>
    <r>
      <rPr>
        <sz val="12"/>
        <rFont val="Calibri"/>
        <family val="2"/>
        <charset val="1"/>
      </rPr>
      <t xml:space="preserve"> 0.001552 x BW(kg)</t>
    </r>
  </si>
  <si>
    <r>
      <rPr>
        <b/>
        <sz val="12"/>
        <color rgb="FF000000"/>
        <rFont val="Calibri"/>
      </rPr>
      <t>Age &lt; 18yrs : Vgonads =</t>
    </r>
    <r>
      <rPr>
        <sz val="12"/>
        <color rgb="FF000000"/>
        <rFont val="Calibri"/>
      </rPr>
      <t xml:space="preserve"> (8.52e⁻² x Age(h) + 8.31e⁻² x Age(h)^9.99e-1 + 1.10) / 500000
</t>
    </r>
    <r>
      <rPr>
        <b/>
        <sz val="12"/>
        <color rgb="FF000000"/>
        <rFont val="Calibri"/>
      </rPr>
      <t>Age ≥ 18yrs : Vgonads =</t>
    </r>
    <r>
      <rPr>
        <sz val="12"/>
        <color rgb="FF000000"/>
        <rFont val="Calibri"/>
      </rPr>
      <t xml:space="preserve"> 0.05</t>
    </r>
  </si>
  <si>
    <t>Stomach (in L)</t>
  </si>
  <si>
    <r>
      <rPr>
        <b/>
        <sz val="12"/>
        <rFont val="Calibri"/>
        <family val="2"/>
        <charset val="1"/>
      </rPr>
      <t xml:space="preserve">Age &lt; 18 yrs : Vstomach = </t>
    </r>
    <r>
      <rPr>
        <sz val="12"/>
        <rFont val="Calibri"/>
        <family val="2"/>
        <charset val="1"/>
      </rPr>
      <t xml:space="preserve">(0.0008 x Age(y)⁵ – 0.0356 x Age(y)⁴ + 0.5823 x Age(y)³ – 4.0437 x Age(y)² + 17.888 x Age(y) + 7.54)  / 1040
</t>
    </r>
    <r>
      <rPr>
        <b/>
        <sz val="12"/>
        <rFont val="Calibri"/>
        <family val="2"/>
        <charset val="1"/>
      </rPr>
      <t>Age ≥ 18yrs : Vstomach =</t>
    </r>
    <r>
      <rPr>
        <sz val="12"/>
        <rFont val="Calibri"/>
        <family val="2"/>
        <charset val="1"/>
      </rPr>
      <t xml:space="preserve"> 0.18</t>
    </r>
  </si>
  <si>
    <r>
      <rPr>
        <b/>
        <sz val="12"/>
        <rFont val="Calibri"/>
        <family val="2"/>
        <charset val="1"/>
      </rPr>
      <t>Vstomach =</t>
    </r>
    <r>
      <rPr>
        <sz val="12"/>
        <rFont val="Calibri"/>
        <family val="2"/>
        <charset val="1"/>
      </rPr>
      <t xml:space="preserve"> 0.0021 x BW(kg)</t>
    </r>
  </si>
  <si>
    <r>
      <rPr>
        <b/>
        <sz val="12"/>
        <rFont val="Calibri"/>
        <family val="2"/>
        <charset val="1"/>
      </rPr>
      <t>Vstomach =</t>
    </r>
    <r>
      <rPr>
        <sz val="12"/>
        <rFont val="Calibri"/>
        <family val="2"/>
        <charset val="1"/>
      </rPr>
      <t xml:space="preserve"> 0.0023 x BW(kg)</t>
    </r>
  </si>
  <si>
    <t>Thyroid (in L)</t>
  </si>
  <si>
    <r>
      <rPr>
        <b/>
        <sz val="12"/>
        <rFont val="Calibri"/>
        <family val="2"/>
        <charset val="1"/>
      </rPr>
      <t>Vthyroid =</t>
    </r>
    <r>
      <rPr>
        <sz val="12"/>
        <rFont val="Calibri"/>
        <family val="2"/>
        <charset val="1"/>
      </rPr>
      <t xml:space="preserve"> 0.000274 x BW(kg)</t>
    </r>
  </si>
  <si>
    <r>
      <rPr>
        <b/>
        <sz val="12"/>
        <rFont val="Calibri"/>
        <family val="2"/>
        <charset val="1"/>
      </rPr>
      <t>Vthyroid =</t>
    </r>
    <r>
      <rPr>
        <sz val="12"/>
        <rFont val="Calibri"/>
        <family val="2"/>
        <charset val="1"/>
      </rPr>
      <t xml:space="preserve"> 0.0002833 x BW(kg)</t>
    </r>
  </si>
  <si>
    <t>Diaphragm (in L)</t>
  </si>
  <si>
    <r>
      <rPr>
        <b/>
        <sz val="12"/>
        <rFont val="Calibri"/>
        <family val="2"/>
        <charset val="1"/>
      </rPr>
      <t>Vdiaphragm =</t>
    </r>
    <r>
      <rPr>
        <sz val="12"/>
        <rFont val="Calibri"/>
        <family val="2"/>
        <charset val="1"/>
      </rPr>
      <t xml:space="preserve"> 3e⁻⁴ x BW(kg)</t>
    </r>
  </si>
  <si>
    <t>Luecke et al. 2009
Brown et al. 1997</t>
  </si>
  <si>
    <t>Tongue (in L)</t>
  </si>
  <si>
    <r>
      <rPr>
        <b/>
        <sz val="12"/>
        <color rgb="FF000000"/>
        <rFont val="Calibri"/>
      </rPr>
      <t>Vtongue =</t>
    </r>
    <r>
      <rPr>
        <sz val="12"/>
        <color rgb="FF000000"/>
        <rFont val="Calibri"/>
      </rPr>
      <t xml:space="preserve"> 1.190e⁻³ x BW(kg) – 4.302e⁻⁴</t>
    </r>
  </si>
  <si>
    <r>
      <rPr>
        <b/>
        <sz val="12"/>
        <rFont val="Calibri"/>
        <family val="2"/>
        <charset val="1"/>
      </rPr>
      <t>Vtongue =</t>
    </r>
    <r>
      <rPr>
        <sz val="12"/>
        <rFont val="Calibri"/>
        <family val="2"/>
        <charset val="1"/>
      </rPr>
      <t xml:space="preserve"> 1.190e⁻³ x BW(kg) – 4.302e⁻⁴</t>
    </r>
  </si>
  <si>
    <t>Body Surface Area (BSA) (in m²)</t>
  </si>
  <si>
    <t>Gehan and Georges 1970</t>
  </si>
  <si>
    <t>Calculation of physiological parameters throughout lifetime</t>
  </si>
  <si>
    <t>This file was develop to calculate automatically the results of the retained equations in the lifetime equation library</t>
  </si>
  <si>
    <t xml:space="preserve">INPUT GIVEN BY THE USER in `READ ME </t>
  </si>
  <si>
    <t>Select a body weight in kg</t>
  </si>
  <si>
    <t>Select body height in cm</t>
  </si>
  <si>
    <t>Body weight (kg) and Height (cm)</t>
  </si>
  <si>
    <t>Default values based on XXX</t>
  </si>
  <si>
    <t>Values depend on the gender input, default value is selected for other gender</t>
  </si>
  <si>
    <t>Bodyweight and hight used for the calculations</t>
  </si>
  <si>
    <t>Default values</t>
  </si>
  <si>
    <t>Male</t>
  </si>
  <si>
    <t>Female</t>
  </si>
  <si>
    <t>Values in calculations</t>
  </si>
  <si>
    <t>YES</t>
  </si>
  <si>
    <t>Selected values for calculation</t>
  </si>
  <si>
    <t>Bodyweight (in kg)</t>
  </si>
  <si>
    <t>F</t>
  </si>
  <si>
    <t>Height (in cm)</t>
  </si>
  <si>
    <t xml:space="preserve">Height (in cm) </t>
  </si>
  <si>
    <r>
      <rPr>
        <u/>
        <sz val="12"/>
        <color rgb="FF000000"/>
        <rFont val="Calibri"/>
        <family val="2"/>
      </rPr>
      <t>Legend</t>
    </r>
    <r>
      <rPr>
        <sz val="12"/>
        <color rgb="FF000000"/>
        <rFont val="Calibri"/>
        <family val="2"/>
      </rPr>
      <t>:</t>
    </r>
  </si>
  <si>
    <t>Calculated from bodyweight</t>
  </si>
  <si>
    <t>Calculated from height</t>
  </si>
  <si>
    <t>Calculated from age</t>
  </si>
  <si>
    <t>Calculated from multiple parameters</t>
  </si>
  <si>
    <t>Calculated from Body Surface Area</t>
  </si>
  <si>
    <t>BSA model</t>
  </si>
  <si>
    <t>Cardiac Output</t>
  </si>
  <si>
    <t>Population statistik</t>
  </si>
  <si>
    <t>Statistic</t>
  </si>
  <si>
    <t>Average</t>
  </si>
  <si>
    <t>SD</t>
  </si>
  <si>
    <t>CV</t>
  </si>
  <si>
    <t xml:space="preserve">Male </t>
  </si>
  <si>
    <t>Blood</t>
  </si>
  <si>
    <t>Brain</t>
  </si>
  <si>
    <t>Bones</t>
  </si>
  <si>
    <t>Haddad et al. (2006)*</t>
  </si>
  <si>
    <t>Muscles</t>
  </si>
  <si>
    <t>Kidney</t>
  </si>
  <si>
    <t>Liver</t>
  </si>
  <si>
    <t>Lungs</t>
  </si>
  <si>
    <t>Pancreas</t>
  </si>
  <si>
    <t>Skin</t>
  </si>
  <si>
    <t>Spleen</t>
  </si>
  <si>
    <t>Fat</t>
  </si>
  <si>
    <t>Gut (in L)</t>
  </si>
  <si>
    <t>Gut</t>
  </si>
  <si>
    <t>Heart</t>
  </si>
  <si>
    <t>Marrow (in L)</t>
  </si>
  <si>
    <t>Gonads</t>
  </si>
  <si>
    <t>Stomach</t>
  </si>
  <si>
    <t>SIMULATION INPUT</t>
  </si>
  <si>
    <t>Summary statistics of the lifetime physiological organ volumes represented as either fraction of bodyweight or mass in L</t>
  </si>
  <si>
    <t>Age</t>
  </si>
  <si>
    <t>ORGAN</t>
  </si>
  <si>
    <t>GENDER</t>
  </si>
  <si>
    <t>Fraction of the bodyweight</t>
  </si>
  <si>
    <t>Volume of organs</t>
  </si>
  <si>
    <t>Gender</t>
  </si>
  <si>
    <t>Mean</t>
  </si>
  <si>
    <t>Standard deviation</t>
  </si>
  <si>
    <t>Coefficient of variation</t>
  </si>
  <si>
    <t>Bodyweight in kg</t>
  </si>
  <si>
    <t>BLOOD</t>
  </si>
  <si>
    <t>Height in cm</t>
  </si>
  <si>
    <t>BRAIN</t>
  </si>
  <si>
    <t>BONES</t>
  </si>
  <si>
    <t>MUSCLES</t>
  </si>
  <si>
    <t>KIDNEY</t>
  </si>
  <si>
    <t>LIVER</t>
  </si>
  <si>
    <t>LUNGS</t>
  </si>
  <si>
    <t>PANCREAS</t>
  </si>
  <si>
    <t>SKIN</t>
  </si>
  <si>
    <t>SPLEEN</t>
  </si>
  <si>
    <t>FAT</t>
  </si>
  <si>
    <t>ADRENALS</t>
  </si>
  <si>
    <t>BREAST</t>
  </si>
  <si>
    <t>GUT</t>
  </si>
  <si>
    <t>HEART</t>
  </si>
  <si>
    <t>MARROW</t>
  </si>
  <si>
    <t>GONADS</t>
  </si>
  <si>
    <t>STOMACH</t>
  </si>
  <si>
    <t>THYROID</t>
  </si>
  <si>
    <t>DIAPHRAGM</t>
  </si>
  <si>
    <t>TONGUE</t>
  </si>
  <si>
    <t>TOTAL</t>
  </si>
  <si>
    <t>Bodyweight (kg)</t>
  </si>
  <si>
    <t>Height (cm)</t>
  </si>
  <si>
    <t>Cardiac Output in L/h</t>
  </si>
  <si>
    <t>Blood in L</t>
  </si>
  <si>
    <t>Brain in L</t>
  </si>
  <si>
    <t>Bone in L</t>
  </si>
  <si>
    <t>Muscle in L</t>
  </si>
  <si>
    <t>Kidney in L</t>
  </si>
  <si>
    <t>Liver in L</t>
  </si>
  <si>
    <t>Lung in L</t>
  </si>
  <si>
    <t>Pancreas in L</t>
  </si>
  <si>
    <t>Skin in L</t>
  </si>
  <si>
    <t>Spleen in L</t>
  </si>
  <si>
    <t>Fat in L</t>
  </si>
  <si>
    <t>Adrenals in L</t>
  </si>
  <si>
    <t>Breast in L</t>
  </si>
  <si>
    <t>Gut in L</t>
  </si>
  <si>
    <t>Heart in L</t>
  </si>
  <si>
    <t>Marrow in L</t>
  </si>
  <si>
    <t>Gonad in L</t>
  </si>
  <si>
    <t>Stomach in L</t>
  </si>
  <si>
    <t>Thyroid in L</t>
  </si>
  <si>
    <t>Diaphgram in L</t>
  </si>
  <si>
    <t>Tongue in L</t>
  </si>
  <si>
    <t>STD</t>
  </si>
  <si>
    <t>Hematocrit in L/h</t>
  </si>
  <si>
    <t>Smith et al.(2014)</t>
  </si>
  <si>
    <t>Price K. et al. (2001)</t>
  </si>
  <si>
    <t>ID (Table 2)</t>
  </si>
  <si>
    <t>References</t>
  </si>
  <si>
    <t>DOI</t>
  </si>
  <si>
    <t>Citation</t>
  </si>
  <si>
    <t>Table: Summary of the original sources of the lifetime physiological equations</t>
  </si>
  <si>
    <t>/</t>
  </si>
  <si>
    <r>
      <t>Biological Handbook : Growth, Including Reproduction and Morphological Development . Compiled and edited by Philip L. Altman and Dorothy S. Dittmer. Federation of American Societies for Experimental Biology, Washington, D.C., 1962. xiv + 608 pp. Illus. $ 12.50. </t>
    </r>
    <r>
      <rPr>
        <i/>
        <sz val="14"/>
        <color rgb="FF05103E"/>
        <rFont val="Calibri"/>
        <family val="2"/>
      </rPr>
      <t>Science</t>
    </r>
    <r>
      <rPr>
        <sz val="14"/>
        <color rgb="FF05103E"/>
        <rFont val="Calibri"/>
        <family val="2"/>
      </rPr>
      <t>, </t>
    </r>
    <r>
      <rPr>
        <i/>
        <sz val="14"/>
        <color rgb="FF05103E"/>
        <rFont val="Calibri"/>
        <family val="2"/>
      </rPr>
      <t>140</t>
    </r>
    <r>
      <rPr>
        <sz val="14"/>
        <color rgb="FF05103E"/>
        <rFont val="Calibri"/>
        <family val="2"/>
      </rPr>
      <t>(3567), 638‑639. https://doi.org/10.1126/science.140.3567.638.c</t>
    </r>
  </si>
  <si>
    <t>Baxter-Jones et al. 2011</t>
  </si>
  <si>
    <t>10.1002/jbmr.412</t>
  </si>
  <si>
    <r>
      <t>Baxter-Jones, A. D., Faulkner, R. A., Forwood, M. R., Mirwald, R. L., &amp; Bailey, D. A. (2011). Bone mineral accrual from 8 to 30 years of age : An estimation of peak bone mass. </t>
    </r>
    <r>
      <rPr>
        <i/>
        <sz val="14"/>
        <color rgb="FF05103E"/>
        <rFont val="Calibri"/>
        <family val="2"/>
      </rPr>
      <t>Journal Of Bone And Mineral Research</t>
    </r>
    <r>
      <rPr>
        <sz val="14"/>
        <color rgb="FF05103E"/>
        <rFont val="Calibri"/>
        <family val="2"/>
      </rPr>
      <t>, </t>
    </r>
    <r>
      <rPr>
        <i/>
        <sz val="14"/>
        <color rgb="FF05103E"/>
        <rFont val="Calibri"/>
        <family val="2"/>
      </rPr>
      <t>26</t>
    </r>
    <r>
      <rPr>
        <sz val="14"/>
        <color rgb="FF05103E"/>
        <rFont val="Calibri"/>
        <family val="2"/>
      </rPr>
      <t>(8), 1729‑1739. https://doi.org/10.1002/jbmr.412</t>
    </r>
  </si>
  <si>
    <t>Lifetime</t>
  </si>
  <si>
    <t>Beaudouin et al. 2010</t>
  </si>
  <si>
    <t>10.1016/j.yrtph.2010.01.005</t>
  </si>
  <si>
    <r>
      <t xml:space="preserve">Beaudouin, R., Micallef, S., &amp; Brochot, C. (2010). A stochastic whole-body physiologically based pharmacokinetic model to assess the impact of inter-individual variability on tissue dosimetry over the human lifespan. </t>
    </r>
    <r>
      <rPr>
        <i/>
        <sz val="14"/>
        <rFont val="Calibri"/>
        <family val="2"/>
      </rPr>
      <t>Regulatory Toxicology And Pharmacology</t>
    </r>
    <r>
      <rPr>
        <sz val="14"/>
        <rFont val="Calibri"/>
        <family val="2"/>
      </rPr>
      <t xml:space="preserve">, </t>
    </r>
    <r>
      <rPr>
        <i/>
        <sz val="14"/>
        <rFont val="Calibri"/>
        <family val="2"/>
      </rPr>
      <t>57</t>
    </r>
    <r>
      <rPr>
        <sz val="14"/>
        <rFont val="Calibri"/>
        <family val="2"/>
      </rPr>
      <t>(1), 103‑116. https://doi.org/10.1016/j.yrtph.2010.01.005</t>
    </r>
  </si>
  <si>
    <t>10.3109/10408444.2012.709225</t>
  </si>
  <si>
    <r>
      <t xml:space="preserve">Bosgra, S., Van Eijkeren, J., Bos, P., Zeilmaker, M. J., &amp; Slob, W. (2012). An improved model to predict physiologically based model parameters and their inter-individual variability from anthropometry. </t>
    </r>
    <r>
      <rPr>
        <i/>
        <sz val="14"/>
        <rFont val="Calibri"/>
        <family val="2"/>
      </rPr>
      <t>Critical Reviews In Toxicology</t>
    </r>
    <r>
      <rPr>
        <sz val="14"/>
        <rFont val="Calibri"/>
        <family val="2"/>
      </rPr>
      <t xml:space="preserve">, </t>
    </r>
    <r>
      <rPr>
        <i/>
        <sz val="14"/>
        <rFont val="Calibri"/>
        <family val="2"/>
      </rPr>
      <t>42</t>
    </r>
    <r>
      <rPr>
        <sz val="14"/>
        <rFont val="Calibri"/>
        <family val="2"/>
      </rPr>
      <t>(9), 751‑767. https://doi.org/10.3109/10408444.2012.709225</t>
    </r>
  </si>
  <si>
    <t>10.1177/074823379701300401</t>
  </si>
  <si>
    <r>
      <t xml:space="preserve">Brown, R. P., Delp, M. D., Lindstedt, S. L., Rhomberg, L. R., &amp; Beliles, R. P. (1997). Physiological Parameter Values for Physiologically Based Pharmacokinetic Models. </t>
    </r>
    <r>
      <rPr>
        <i/>
        <sz val="14"/>
        <rFont val="Calibri"/>
        <family val="2"/>
      </rPr>
      <t>Toxicology And Industrial Health</t>
    </r>
    <r>
      <rPr>
        <sz val="14"/>
        <rFont val="Calibri"/>
        <family val="2"/>
      </rPr>
      <t xml:space="preserve">, </t>
    </r>
    <r>
      <rPr>
        <i/>
        <sz val="14"/>
        <rFont val="Calibri"/>
        <family val="2"/>
      </rPr>
      <t>13</t>
    </r>
    <r>
      <rPr>
        <sz val="14"/>
        <rFont val="Calibri"/>
        <family val="2"/>
      </rPr>
      <t>(4), 407‑484. https://doi.org/10.1177/074823379701300401</t>
    </r>
  </si>
  <si>
    <t>Cayler et al. 1963</t>
  </si>
  <si>
    <t>10.1542/peds.32.2.186</t>
  </si>
  <si>
    <r>
      <t xml:space="preserve">Cayler, G. G., Rudolph, A. M., &amp; Nadas, A. S. (1963). SYSTEMIC BLOOD FLOW IN INFANTS AND CHILDREN WITH AND WITHOUT HEART DISEASE. </t>
    </r>
    <r>
      <rPr>
        <i/>
        <sz val="14"/>
        <rFont val="Calibri"/>
        <family val="2"/>
      </rPr>
      <t>Pediatrics</t>
    </r>
    <r>
      <rPr>
        <sz val="14"/>
        <rFont val="Calibri"/>
        <family val="2"/>
      </rPr>
      <t xml:space="preserve">, </t>
    </r>
    <r>
      <rPr>
        <i/>
        <sz val="14"/>
        <rFont val="Calibri"/>
        <family val="2"/>
      </rPr>
      <t>32</t>
    </r>
    <r>
      <rPr>
        <sz val="14"/>
        <rFont val="Calibri"/>
        <family val="2"/>
      </rPr>
      <t>(2), 186‑201. https://doi.org/10.1542/peds.32.2.186</t>
    </r>
  </si>
  <si>
    <r>
      <t>NHANES Questionnaires, Datasets, and Related Documentation</t>
    </r>
    <r>
      <rPr>
        <sz val="14"/>
        <rFont val="Calibri"/>
        <family val="2"/>
      </rPr>
      <t>. (s. d.). https : //wwwn.cdc.gov/nchs/nhanes/</t>
    </r>
  </si>
  <si>
    <t>10.1093/toxsci/kfh109</t>
  </si>
  <si>
    <r>
      <t xml:space="preserve">Clewell, H. J., Gentry, P. R., Covington, T. R., Sarangapani, R., &amp; Teeguarden, J. G. (2004). Evaluation of the Potential Impact of Age- and Gender-Specific Pharmacokinetic Differences on Tissue Dosimetry 2Current address : Novartis Pharmaceuticals, East Hanover, NJ 07936. </t>
    </r>
    <r>
      <rPr>
        <i/>
        <sz val="14"/>
        <rFont val="Calibri"/>
        <family val="2"/>
      </rPr>
      <t>Toxicological Sciences</t>
    </r>
    <r>
      <rPr>
        <sz val="14"/>
        <rFont val="Calibri"/>
        <family val="2"/>
      </rPr>
      <t xml:space="preserve">, </t>
    </r>
    <r>
      <rPr>
        <i/>
        <sz val="14"/>
        <rFont val="Calibri"/>
        <family val="2"/>
      </rPr>
      <t>79</t>
    </r>
    <r>
      <rPr>
        <sz val="14"/>
        <rFont val="Calibri"/>
        <family val="2"/>
      </rPr>
      <t>(2), 381‑393. https://doi.org/10.1093/toxsci/kfh109</t>
    </r>
  </si>
  <si>
    <t>10.1097/00000542-197111000-00013</t>
  </si>
  <si>
    <r>
      <t xml:space="preserve">Cowles, A. L., Borgstedt, H. H., &amp; Gillies, A. J. (1971). Tissue Weights and Rates of Blood Flow in Man for the Prediction of Anesthetic Uptake and Distribution. </t>
    </r>
    <r>
      <rPr>
        <i/>
        <sz val="14"/>
        <rFont val="Calibri"/>
        <family val="2"/>
      </rPr>
      <t>Anesthesiology</t>
    </r>
    <r>
      <rPr>
        <sz val="14"/>
        <rFont val="Calibri"/>
        <family val="2"/>
      </rPr>
      <t xml:space="preserve">, </t>
    </r>
    <r>
      <rPr>
        <i/>
        <sz val="14"/>
        <rFont val="Calibri"/>
        <family val="2"/>
      </rPr>
      <t>35</t>
    </r>
    <r>
      <rPr>
        <sz val="14"/>
        <rFont val="Calibri"/>
        <family val="2"/>
      </rPr>
      <t>(5), 523‑526. https://doi.org/10.1097/00000542-197111000-00013</t>
    </r>
  </si>
  <si>
    <t>10.1016/S0022-3476(71)80004-5</t>
  </si>
  <si>
    <r>
      <t xml:space="preserve">Cropp, J. G. (1971). Changes in blood and plasma volumes during growth. </t>
    </r>
    <r>
      <rPr>
        <i/>
        <sz val="14"/>
        <color rgb="FF000000"/>
        <rFont val="Calibri"/>
        <family val="2"/>
      </rPr>
      <t>The Journal Of Pediatrics</t>
    </r>
    <r>
      <rPr>
        <sz val="14"/>
        <color rgb="FF000000"/>
        <rFont val="Calibri"/>
        <family val="2"/>
      </rPr>
      <t xml:space="preserve">, </t>
    </r>
    <r>
      <rPr>
        <i/>
        <sz val="14"/>
        <color rgb="FF000000"/>
        <rFont val="Calibri"/>
        <family val="2"/>
      </rPr>
      <t>78</t>
    </r>
    <r>
      <rPr>
        <sz val="14"/>
        <color rgb="FF000000"/>
        <rFont val="Calibri"/>
        <family val="2"/>
      </rPr>
      <t>(2), 220‑229. https://doi.org/10.1016/s0022-3476(71)80004-5</t>
    </r>
  </si>
  <si>
    <t>10.1016/j.envres.2021.111287</t>
  </si>
  <si>
    <r>
      <t xml:space="preserve">Deepika, D., Sharma, R. P., Schuhmacher, M., &amp; Kumar, V. (2021). Risk Assessment of Perfluorooctane Sulfonate (PFOS) using Dynamic Age Dependent Physiologically based Pharmacokinetic Model (PBPK) across Human Lifetime. </t>
    </r>
    <r>
      <rPr>
        <i/>
        <sz val="14"/>
        <rFont val="Calibri"/>
        <family val="2"/>
      </rPr>
      <t>Environmental Research</t>
    </r>
    <r>
      <rPr>
        <sz val="14"/>
        <rFont val="Calibri"/>
        <family val="2"/>
      </rPr>
      <t xml:space="preserve">, </t>
    </r>
    <r>
      <rPr>
        <i/>
        <sz val="14"/>
        <rFont val="Calibri"/>
        <family val="2"/>
      </rPr>
      <t>199</t>
    </r>
    <r>
      <rPr>
        <sz val="14"/>
        <rFont val="Calibri"/>
        <family val="2"/>
      </rPr>
      <t>, 111287. https://doi.org/10.1016/j.envres.2021.111287</t>
    </r>
  </si>
  <si>
    <t>Du Bois D, Du Bois EF. 1989. A formula to estimate the approximate surface area if height and weight be known. 1916. Nutrition 5: 303–311; discussion 312.</t>
  </si>
  <si>
    <t>Fomon et al. 1982</t>
  </si>
  <si>
    <t xml:space="preserve"> 10.1093/ajcn/35.5.1169 </t>
  </si>
  <si>
    <r>
      <t xml:space="preserve">Fomon, S. J., Haschke, F., Ziegler, E. E., &amp; Nelson, S. E. (1982). Body composition of reference children from birth to age 10 years. </t>
    </r>
    <r>
      <rPr>
        <i/>
        <sz val="14"/>
        <color rgb="FF000000"/>
        <rFont val="Calibri"/>
        <family val="2"/>
      </rPr>
      <t>The American Journal Of Clinical Nutrition</t>
    </r>
    <r>
      <rPr>
        <sz val="14"/>
        <color rgb="FF000000"/>
        <rFont val="Calibri"/>
        <family val="2"/>
      </rPr>
      <t xml:space="preserve">, </t>
    </r>
    <r>
      <rPr>
        <i/>
        <sz val="14"/>
        <color rgb="FF000000"/>
        <rFont val="Calibri"/>
        <family val="2"/>
      </rPr>
      <t>35</t>
    </r>
    <r>
      <rPr>
        <sz val="14"/>
        <color rgb="FF000000"/>
        <rFont val="Calibri"/>
        <family val="2"/>
      </rPr>
      <t>(5), 1169‑1175. https://doi.org/10.1093/ajcn/35.5.1169</t>
    </r>
  </si>
  <si>
    <r>
      <t xml:space="preserve">Gehan, E. A., &amp; George, S. L. (1970). Estimation of human body surface area from height and weight. </t>
    </r>
    <r>
      <rPr>
        <i/>
        <sz val="14"/>
        <rFont val="Calibri"/>
        <family val="2"/>
      </rPr>
      <t>PubMed</t>
    </r>
    <r>
      <rPr>
        <sz val="14"/>
        <rFont val="Calibri"/>
        <family val="2"/>
      </rPr>
      <t xml:space="preserve">, </t>
    </r>
    <r>
      <rPr>
        <i/>
        <sz val="14"/>
        <rFont val="Calibri"/>
        <family val="2"/>
      </rPr>
      <t>54</t>
    </r>
    <r>
      <rPr>
        <sz val="14"/>
        <rFont val="Calibri"/>
        <family val="2"/>
      </rPr>
      <t>(4), 225‑235. https://pubmed.ncbi.nlm.nih.gov/5527019</t>
    </r>
  </si>
  <si>
    <t>Gentry et al. 2002</t>
  </si>
  <si>
    <t>10.1006/rtph.2002.1540</t>
  </si>
  <si>
    <r>
      <t xml:space="preserve">Gentry, P. R., Covington, T. R., Andersen, M. E., &amp; Clewell, H. J. (2002). Application of a Physiologically Based Pharmacokinetic Model for Isopropanol in the Derivation of a Reference Dose and Reference Concentration. </t>
    </r>
    <r>
      <rPr>
        <i/>
        <sz val="14"/>
        <rFont val="Calibri"/>
        <family val="2"/>
      </rPr>
      <t>Regulatory Toxicology And Pharmacology</t>
    </r>
    <r>
      <rPr>
        <sz val="14"/>
        <rFont val="Calibri"/>
        <family val="2"/>
      </rPr>
      <t xml:space="preserve">, </t>
    </r>
    <r>
      <rPr>
        <i/>
        <sz val="14"/>
        <rFont val="Calibri"/>
        <family val="2"/>
      </rPr>
      <t>36</t>
    </r>
    <r>
      <rPr>
        <sz val="14"/>
        <rFont val="Calibri"/>
        <family val="2"/>
      </rPr>
      <t>(1), 51‑68. https://doi.org/10.1006/rtph.2002.1540</t>
    </r>
  </si>
  <si>
    <t>10.7863/jum.1995.14.2.81</t>
  </si>
  <si>
    <r>
      <t xml:space="preserve">Gilja, O. H., Hausken, T., Ødegaard, S., &amp; Berstad, A. (1995). Monitoring postprandial size of the proximal stomach by ultrasonography. </t>
    </r>
    <r>
      <rPr>
        <i/>
        <sz val="14"/>
        <rFont val="Calibri"/>
        <family val="2"/>
      </rPr>
      <t>Journal Of Ultrasound In Medicine</t>
    </r>
    <r>
      <rPr>
        <sz val="14"/>
        <rFont val="Calibri"/>
        <family val="2"/>
      </rPr>
      <t xml:space="preserve">, </t>
    </r>
    <r>
      <rPr>
        <i/>
        <sz val="14"/>
        <rFont val="Calibri"/>
        <family val="2"/>
      </rPr>
      <t>14</t>
    </r>
    <r>
      <rPr>
        <sz val="14"/>
        <rFont val="Calibri"/>
        <family val="2"/>
      </rPr>
      <t>(2), 81‑89. https://doi.org/10.7863/jum.1995.14.2.81</t>
    </r>
  </si>
  <si>
    <t>15 + Lifetime</t>
  </si>
  <si>
    <t>10.1080/152873901753215911</t>
  </si>
  <si>
    <r>
      <t xml:space="preserve">Haddad, S., Restieri, C., &amp; Krishnan, K. (2001). CHARACTERIZATION OF AGE-RELATED CHANGES IN BODY WEIGHT AND ORGAN WEIGHTS FROM BIRTH TO ADOLESCENCE IN HUMANS. </t>
    </r>
    <r>
      <rPr>
        <i/>
        <sz val="14"/>
        <rFont val="Calibri"/>
        <family val="2"/>
      </rPr>
      <t>Journal Of Toxicology And Environmental Health</t>
    </r>
    <r>
      <rPr>
        <sz val="14"/>
        <rFont val="Calibri"/>
        <family val="2"/>
      </rPr>
      <t xml:space="preserve">, </t>
    </r>
    <r>
      <rPr>
        <i/>
        <sz val="14"/>
        <rFont val="Calibri"/>
        <family val="2"/>
      </rPr>
      <t>64</t>
    </r>
    <r>
      <rPr>
        <sz val="14"/>
        <rFont val="Calibri"/>
        <family val="2"/>
      </rPr>
      <t>(6), 453‑464. https://doi.org/10.1080/152873901753215911</t>
    </r>
  </si>
  <si>
    <t>10.1080/15287390600631789</t>
  </si>
  <si>
    <r>
      <rPr>
        <sz val="14"/>
        <color rgb="FF000000"/>
        <rFont val="Calibri"/>
      </rPr>
      <t xml:space="preserve">Haddad, S., Tardif, G., &amp; Tardif, R. (2006). Development of Physiologically Based Toxicokinetic Models for Improving the Human Indoor Exposure Assessment to Water Contaminants : Trichloroethylene and Trihalomethanes. </t>
    </r>
    <r>
      <rPr>
        <i/>
        <sz val="14"/>
        <color rgb="FF000000"/>
        <rFont val="Calibri"/>
      </rPr>
      <t>Journal Of Toxicology And Environmental Health</t>
    </r>
    <r>
      <rPr>
        <sz val="14"/>
        <color rgb="FF000000"/>
        <rFont val="Calibri"/>
      </rPr>
      <t xml:space="preserve">, </t>
    </r>
    <r>
      <rPr>
        <i/>
        <sz val="14"/>
        <color rgb="FF000000"/>
        <rFont val="Calibri"/>
      </rPr>
      <t>69</t>
    </r>
    <r>
      <rPr>
        <sz val="14"/>
        <color rgb="FF000000"/>
        <rFont val="Calibri"/>
      </rPr>
      <t>(23), 2095‑2136. https://doi.org/10.1080/15287390600631789</t>
    </r>
  </si>
  <si>
    <t>Haycock 1978</t>
  </si>
  <si>
    <t xml:space="preserve">10.1016/s0022-3476(78)80601-5 </t>
  </si>
  <si>
    <r>
      <t xml:space="preserve">Haycock, G. B., Schwartz, G. J., &amp; Wisotsky, D. H. (1978). Geometric method for measuring body surface area : A height-weight formula validated in infants, children, and adults. </t>
    </r>
    <r>
      <rPr>
        <i/>
        <sz val="14"/>
        <color rgb="FF000000"/>
        <rFont val="Calibri"/>
        <family val="2"/>
      </rPr>
      <t>The Journal Of Pediatrics</t>
    </r>
    <r>
      <rPr>
        <sz val="14"/>
        <color rgb="FF000000"/>
        <rFont val="Calibri"/>
        <family val="2"/>
      </rPr>
      <t xml:space="preserve">, </t>
    </r>
    <r>
      <rPr>
        <i/>
        <sz val="14"/>
        <color rgb="FF000000"/>
        <rFont val="Calibri"/>
        <family val="2"/>
      </rPr>
      <t>93</t>
    </r>
    <r>
      <rPr>
        <sz val="14"/>
        <color rgb="FF000000"/>
        <rFont val="Calibri"/>
        <family val="2"/>
      </rPr>
      <t>(1), 62‑66. https://doi.org/10.1016/s0022-3476(78)80601-5</t>
    </r>
  </si>
  <si>
    <t>ICRP, 1975. Report of the Task Group on Reference Man. ICRP Publication 23. Pergamon Press, Oxford</t>
  </si>
  <si>
    <t>ICRP, 2002. Basic Anatomical and Physiological Data for Use in Radiological Protection Reference Values. ICRP Publication 89. Ann. ICRP 32 (3-4).</t>
  </si>
  <si>
    <t>Janssen et al. 2000</t>
  </si>
  <si>
    <t xml:space="preserve">10.1152/jappl.2000.89.1.81 </t>
  </si>
  <si>
    <r>
      <t xml:space="preserve">Janssen, I., Heymsfield, S. B., Wang, Z., &amp; Ross, R. (2000). Skeletal muscle mass and distribution in 468 men and women aged 18–88 yr. </t>
    </r>
    <r>
      <rPr>
        <i/>
        <sz val="14"/>
        <rFont val="Calibri"/>
        <family val="2"/>
      </rPr>
      <t>Journal Of Applied Physiology</t>
    </r>
    <r>
      <rPr>
        <sz val="14"/>
        <rFont val="Calibri"/>
        <family val="2"/>
      </rPr>
      <t xml:space="preserve">, </t>
    </r>
    <r>
      <rPr>
        <i/>
        <sz val="14"/>
        <rFont val="Calibri"/>
        <family val="2"/>
      </rPr>
      <t>89</t>
    </r>
    <r>
      <rPr>
        <sz val="14"/>
        <rFont val="Calibri"/>
        <family val="2"/>
      </rPr>
      <t>(1), 81‑88. https://doi.org/10.1152/jappl.2000.89.1.81</t>
    </r>
  </si>
  <si>
    <t>Koo et al. 2000</t>
  </si>
  <si>
    <t xml:space="preserve">10.1093/jn/130.9.2188 </t>
  </si>
  <si>
    <r>
      <t xml:space="preserve">Koo, W., Walters, J., &amp; Hockman, E. M. (2000). Body Composition in Human Infants at Birth and Postnatally. </t>
    </r>
    <r>
      <rPr>
        <i/>
        <sz val="14"/>
        <color rgb="FF000000"/>
        <rFont val="Calibri"/>
        <family val="2"/>
      </rPr>
      <t>The Journal Of Nutrition</t>
    </r>
    <r>
      <rPr>
        <sz val="14"/>
        <color rgb="FF000000"/>
        <rFont val="Calibri"/>
        <family val="2"/>
      </rPr>
      <t xml:space="preserve">, </t>
    </r>
    <r>
      <rPr>
        <i/>
        <sz val="14"/>
        <color rgb="FF000000"/>
        <rFont val="Calibri"/>
        <family val="2"/>
      </rPr>
      <t>130</t>
    </r>
    <r>
      <rPr>
        <sz val="14"/>
        <color rgb="FF000000"/>
        <rFont val="Calibri"/>
        <family val="2"/>
      </rPr>
      <t>(9), 2188‑2194. https://doi.org/10.1093/jn/130.9.2188</t>
    </r>
  </si>
  <si>
    <t>Lafortuna et al. 2005</t>
  </si>
  <si>
    <t>10.1038/sj.ijo.0802955</t>
  </si>
  <si>
    <r>
      <t xml:space="preserve">Lafortuna, C. L., Maffiuletti, N. A., Agosti, F., &amp; Sartório, A. (2005). Gender variations of body composition, muscle strength and power output in morbid obesity. </t>
    </r>
    <r>
      <rPr>
        <i/>
        <sz val="14"/>
        <rFont val="Calibri"/>
        <family val="2"/>
      </rPr>
      <t>International Journal Of Obesity</t>
    </r>
    <r>
      <rPr>
        <sz val="14"/>
        <rFont val="Calibri"/>
        <family val="2"/>
      </rPr>
      <t xml:space="preserve">, </t>
    </r>
    <r>
      <rPr>
        <i/>
        <sz val="14"/>
        <rFont val="Calibri"/>
        <family val="2"/>
      </rPr>
      <t>29</t>
    </r>
    <r>
      <rPr>
        <sz val="14"/>
        <rFont val="Calibri"/>
        <family val="2"/>
      </rPr>
      <t>(7), 833‑841. https://doi.org/10.1038/sj.ijo.0802955</t>
    </r>
  </si>
  <si>
    <t>Lexell et al. 1988</t>
  </si>
  <si>
    <t>10.1016/0022-510X(88)90132-3</t>
  </si>
  <si>
    <r>
      <t xml:space="preserve">Lexell, J., Taylor, C., &amp; Sjöstróm, M. (1988). What is the cause of the ageing atrophy? </t>
    </r>
    <r>
      <rPr>
        <i/>
        <sz val="14"/>
        <rFont val="Calibri"/>
        <family val="2"/>
      </rPr>
      <t>Journal Of The Neurological Sciences</t>
    </r>
    <r>
      <rPr>
        <sz val="14"/>
        <rFont val="Calibri"/>
        <family val="2"/>
      </rPr>
      <t xml:space="preserve">, </t>
    </r>
    <r>
      <rPr>
        <i/>
        <sz val="14"/>
        <rFont val="Calibri"/>
        <family val="2"/>
      </rPr>
      <t>84</t>
    </r>
    <r>
      <rPr>
        <sz val="14"/>
        <rFont val="Calibri"/>
        <family val="2"/>
      </rPr>
      <t>(2‑3), 275‑294. https://doi.org/10.1016/0022-510x(88)90132-3</t>
    </r>
  </si>
  <si>
    <t>Looker et al. 2009</t>
  </si>
  <si>
    <t xml:space="preserve"> 10.1007/s00198-008-0809-6 </t>
  </si>
  <si>
    <r>
      <t xml:space="preserve">Looker, A. C., Melton, L. J., Harris, T. B., Borrud, L. G., Shepherd, J., &amp; McGowan, J. A. (2008). Age, gender, and race/ethnic differences in total body and subregional bone density. </t>
    </r>
    <r>
      <rPr>
        <i/>
        <sz val="14"/>
        <rFont val="Calibri"/>
        <family val="2"/>
      </rPr>
      <t>Osteoporosis International</t>
    </r>
    <r>
      <rPr>
        <sz val="14"/>
        <rFont val="Calibri"/>
        <family val="2"/>
      </rPr>
      <t xml:space="preserve">, </t>
    </r>
    <r>
      <rPr>
        <i/>
        <sz val="14"/>
        <rFont val="Calibri"/>
        <family val="2"/>
      </rPr>
      <t>20</t>
    </r>
    <r>
      <rPr>
        <sz val="14"/>
        <rFont val="Calibri"/>
        <family val="2"/>
      </rPr>
      <t>(7), 1141‑1149. https://doi.org/10.1007/s00198-008-0809-6</t>
    </r>
  </si>
  <si>
    <t>Luecke et al. 2009</t>
  </si>
  <si>
    <t>10.1080/15287390601172056</t>
  </si>
  <si>
    <r>
      <t xml:space="preserve">Luecke, R. H., Pearce, B. A., Wosilait, W. D., Slikker, W., &amp; Young, J. F. (2007). Postnatal Growth Considerations for PBPK Modeling. </t>
    </r>
    <r>
      <rPr>
        <i/>
        <sz val="14"/>
        <rFont val="Calibri"/>
        <family val="2"/>
      </rPr>
      <t>Journal Of Toxicology And Environmental Health</t>
    </r>
    <r>
      <rPr>
        <sz val="14"/>
        <rFont val="Calibri"/>
        <family val="2"/>
      </rPr>
      <t xml:space="preserve">, </t>
    </r>
    <r>
      <rPr>
        <i/>
        <sz val="14"/>
        <rFont val="Calibri"/>
        <family val="2"/>
      </rPr>
      <t>70</t>
    </r>
    <r>
      <rPr>
        <sz val="14"/>
        <rFont val="Calibri"/>
        <family val="2"/>
      </rPr>
      <t>(12), 1027‑1037. https://doi.org/10.1080/15287390601172056</t>
    </r>
  </si>
  <si>
    <t>Luisada et al. 1980</t>
  </si>
  <si>
    <t>10.1177/000331978003100201</t>
  </si>
  <si>
    <r>
      <t xml:space="preserve">Luisada, A. A., Bhat, P., &amp; Knighten, V. (1980). Changes of Cardiac Output Caused by Aging : An Impedance Cardiographic Study. </t>
    </r>
    <r>
      <rPr>
        <i/>
        <sz val="14"/>
        <rFont val="Calibri"/>
        <family val="2"/>
      </rPr>
      <t>Angiology</t>
    </r>
    <r>
      <rPr>
        <sz val="14"/>
        <rFont val="Calibri"/>
        <family val="2"/>
      </rPr>
      <t xml:space="preserve">, </t>
    </r>
    <r>
      <rPr>
        <i/>
        <sz val="14"/>
        <rFont val="Calibri"/>
        <family val="2"/>
      </rPr>
      <t>31</t>
    </r>
    <r>
      <rPr>
        <sz val="14"/>
        <rFont val="Calibri"/>
        <family val="2"/>
      </rPr>
      <t>(2), 75‑81. https://doi.org/10.1177/000331978003100201</t>
    </r>
  </si>
  <si>
    <t>27 + Lifetime</t>
  </si>
  <si>
    <t>Mallick et al. 2019</t>
  </si>
  <si>
    <t xml:space="preserve"> 10.1093/toxsci/kfz211 </t>
  </si>
  <si>
    <r>
      <rPr>
        <sz val="14"/>
        <color rgb="FF000000"/>
        <rFont val="Calibri"/>
      </rPr>
      <t xml:space="preserve">Mallick, P., Moreau, M., Song, G., Efremenko, A., Pendse, S. N., Creek, M. R., Osimitz, T. G., Hines, R. N., Hinderliter, P. M., Clewell, H. J., Lake, B. G., &amp; Yoon, M. (2019). Development and Application of a Life-Stage Physiologically Based Pharmacokinetic (PBPK) Model to the Assessment of Internal Dose of Pyrethroids in Humans. </t>
    </r>
    <r>
      <rPr>
        <i/>
        <sz val="14"/>
        <color rgb="FF000000"/>
        <rFont val="Calibri"/>
      </rPr>
      <t>Toxicological Sciences</t>
    </r>
    <r>
      <rPr>
        <sz val="14"/>
        <color rgb="FF000000"/>
        <rFont val="Calibri"/>
      </rPr>
      <t xml:space="preserve">, </t>
    </r>
    <r>
      <rPr>
        <i/>
        <sz val="14"/>
        <color rgb="FF000000"/>
        <rFont val="Calibri"/>
      </rPr>
      <t>173</t>
    </r>
    <r>
      <rPr>
        <sz val="14"/>
        <color rgb="FF000000"/>
        <rFont val="Calibri"/>
      </rPr>
      <t>(1), 86‑99. https://doi.org/10.1093/toxsci/kfz211</t>
    </r>
  </si>
  <si>
    <t>Morse et al. 1947</t>
  </si>
  <si>
    <t>10.1152/ajplegacy.1947.151.2.448</t>
  </si>
  <si>
    <r>
      <t xml:space="preserve">Morse, M., Cassels, D. E., &amp; Schlutz, F. W. (1947). BLOOD VOLUMES OF NORMAL CHILDREN. </t>
    </r>
    <r>
      <rPr>
        <i/>
        <sz val="14"/>
        <color rgb="FF000000"/>
        <rFont val="Calibri"/>
        <family val="2"/>
      </rPr>
      <t>American Journal Of Physiology/The American Journal Of Physiology</t>
    </r>
    <r>
      <rPr>
        <sz val="14"/>
        <color rgb="FF000000"/>
        <rFont val="Calibri"/>
        <family val="2"/>
      </rPr>
      <t xml:space="preserve">, </t>
    </r>
    <r>
      <rPr>
        <i/>
        <sz val="14"/>
        <color rgb="FF000000"/>
        <rFont val="Calibri"/>
        <family val="2"/>
      </rPr>
      <t>151</t>
    </r>
    <r>
      <rPr>
        <sz val="14"/>
        <color rgb="FF000000"/>
        <rFont val="Calibri"/>
        <family val="2"/>
      </rPr>
      <t>(2), 448‑458. https://doi.org/10.1152/ajplegacy.1947.151.2.448</t>
    </r>
  </si>
  <si>
    <t>Noda 1997</t>
  </si>
  <si>
    <t xml:space="preserve">10.1007/s002470050114 </t>
  </si>
  <si>
    <r>
      <t xml:space="preserve">Noda, T., Todani, T., Watanabe, Y., &amp; Yamamoto, S. (1997). Liver volume in children measured by computed tomography. </t>
    </r>
    <r>
      <rPr>
        <i/>
        <sz val="14"/>
        <rFont val="Calibri"/>
        <family val="2"/>
      </rPr>
      <t>Pediatric Radiology</t>
    </r>
    <r>
      <rPr>
        <sz val="14"/>
        <rFont val="Calibri"/>
        <family val="2"/>
      </rPr>
      <t xml:space="preserve">, </t>
    </r>
    <r>
      <rPr>
        <i/>
        <sz val="14"/>
        <rFont val="Calibri"/>
        <family val="2"/>
      </rPr>
      <t>27</t>
    </r>
    <r>
      <rPr>
        <sz val="14"/>
        <rFont val="Calibri"/>
        <family val="2"/>
      </rPr>
      <t>(3), 250‑252. https://doi.org/10.1007/s002470050114</t>
    </r>
  </si>
  <si>
    <t>NRC 2003</t>
  </si>
  <si>
    <t xml:space="preserve"> 10.17226/2126</t>
  </si>
  <si>
    <t>National Research Council (US) Committee on Pesticides in the Diets of Infants and Children. Pesticides in the Diets of Infants and Children. Washington (DC): National Academies Press (US); 1993. PMID: 25144038.</t>
  </si>
  <si>
    <t xml:space="preserve"> 10.1097/00004032-199703000-00004 </t>
  </si>
  <si>
    <t>Ogiu, N., Nakamura, Y., Ijiri, I., Hiraiwa, K., &amp; Ogiu, T. (1997). A Statistical Analysis of the Internal Organ Weights of Normal Japanese People. Health Physics, 72(3), 368‑383. https://doi.org/10.1097/00004032-199703000-00004</t>
  </si>
  <si>
    <t>Pendse et al. 2020</t>
  </si>
  <si>
    <t>10.1016/j.comtox.2019.100115</t>
  </si>
  <si>
    <r>
      <rPr>
        <sz val="14"/>
        <color rgb="FF000000"/>
        <rFont val="Calibri"/>
      </rPr>
      <t xml:space="preserve">Pendse, S. N., Efremenko, A., Hack, C. E., Moreau, M., Mallick, P., Dzierlenga, M. W., Nicolas, C. I., Yoon, M., Clewell, H. J., &amp; McMullen, P. D. (2020). Population Life-course exposure to health effects model (PLETHEM) : An R package for PBPK modeling. </t>
    </r>
    <r>
      <rPr>
        <i/>
        <sz val="14"/>
        <color rgb="FF000000"/>
        <rFont val="Calibri"/>
      </rPr>
      <t>Computational Toxicology</t>
    </r>
    <r>
      <rPr>
        <sz val="14"/>
        <color rgb="FF000000"/>
        <rFont val="Calibri"/>
      </rPr>
      <t xml:space="preserve">, </t>
    </r>
    <r>
      <rPr>
        <i/>
        <sz val="14"/>
        <color rgb="FF000000"/>
        <rFont val="Calibri"/>
      </rPr>
      <t>13</t>
    </r>
    <r>
      <rPr>
        <sz val="14"/>
        <color rgb="FF000000"/>
        <rFont val="Calibri"/>
      </rPr>
      <t>, 100115. https://doi.org/10.1016/j.comtox.2019.100115</t>
    </r>
  </si>
  <si>
    <t>32+Lifetime</t>
  </si>
  <si>
    <t>Price K. et al. 2003</t>
  </si>
  <si>
    <t>10.1080/15287390306450</t>
  </si>
  <si>
    <r>
      <rPr>
        <sz val="14"/>
        <color rgb="FF000000"/>
        <rFont val="Calibri"/>
      </rPr>
      <t xml:space="preserve">Price, K., Haddad, S., &amp; Krishnan, K. (2003). Physiological Modeling of Age-Specific Changes in the Pharmacokinetics of Organic Chemicals in Children. </t>
    </r>
    <r>
      <rPr>
        <i/>
        <sz val="14"/>
        <color rgb="FF000000"/>
        <rFont val="Calibri"/>
      </rPr>
      <t>Journal Of Toxicology And Environmental Health</t>
    </r>
    <r>
      <rPr>
        <sz val="14"/>
        <color rgb="FF000000"/>
        <rFont val="Calibri"/>
      </rPr>
      <t xml:space="preserve">, </t>
    </r>
    <r>
      <rPr>
        <i/>
        <sz val="14"/>
        <color rgb="FF000000"/>
        <rFont val="Calibri"/>
      </rPr>
      <t>66</t>
    </r>
    <r>
      <rPr>
        <sz val="14"/>
        <color rgb="FF000000"/>
        <rFont val="Calibri"/>
      </rPr>
      <t>(5), 417‑433. https://doi.org/10.1080/15287390306450</t>
    </r>
  </si>
  <si>
    <t>Price P.S. et al. 2003</t>
  </si>
  <si>
    <t>10.1080/10408440390242324</t>
  </si>
  <si>
    <r>
      <t xml:space="preserve">Price, P. S., Conolly, R. B., Chaisson, C. F., Gross, E. A., Young, J. S., Mathis, E. T., &amp; Tedder, D. R. (2003). Modeling Interindividual Variation in Physiological Factors Used in PBPK Models of Humans. </t>
    </r>
    <r>
      <rPr>
        <i/>
        <sz val="14"/>
        <rFont val="Calibri"/>
        <family val="2"/>
      </rPr>
      <t>Critical Reviews In Toxicology</t>
    </r>
    <r>
      <rPr>
        <sz val="14"/>
        <rFont val="Calibri"/>
        <family val="2"/>
      </rPr>
      <t xml:space="preserve">, </t>
    </r>
    <r>
      <rPr>
        <i/>
        <sz val="14"/>
        <rFont val="Calibri"/>
        <family val="2"/>
      </rPr>
      <t>33</t>
    </r>
    <r>
      <rPr>
        <sz val="14"/>
        <rFont val="Calibri"/>
        <family val="2"/>
      </rPr>
      <t>(5), 469‑503. https://doi.org/10.1080/10408440390242324</t>
    </r>
  </si>
  <si>
    <t>Ring et al. 2017</t>
  </si>
  <si>
    <t>10.1016/j.envint.2017.06.004</t>
  </si>
  <si>
    <r>
      <rPr>
        <sz val="14"/>
        <color rgb="FF000000"/>
        <rFont val="Calibri"/>
      </rPr>
      <t xml:space="preserve">Ring, C., Pearce, R. G., Setzer, R. W., Wetmore, B. A., &amp; Wambaugh, J. F. (2017). Identifying populations sensitive to environmental chemicals by simulating toxicokinetic variability. </t>
    </r>
    <r>
      <rPr>
        <i/>
        <sz val="14"/>
        <color rgb="FF000000"/>
        <rFont val="Calibri"/>
      </rPr>
      <t>Environment International</t>
    </r>
    <r>
      <rPr>
        <sz val="14"/>
        <color rgb="FF000000"/>
        <rFont val="Calibri"/>
      </rPr>
      <t xml:space="preserve">, </t>
    </r>
    <r>
      <rPr>
        <i/>
        <sz val="14"/>
        <color rgb="FF000000"/>
        <rFont val="Calibri"/>
      </rPr>
      <t>106</t>
    </r>
    <r>
      <rPr>
        <sz val="14"/>
        <color rgb="FF000000"/>
        <rFont val="Calibri"/>
      </rPr>
      <t>, 105‑118. https://doi.org/10.1016/j.envint.2017.06.004</t>
    </r>
  </si>
  <si>
    <t>Sarigiannis et al. 2020</t>
  </si>
  <si>
    <t>10.1016/j.envres.2020.109307</t>
  </si>
  <si>
    <r>
      <rPr>
        <sz val="14"/>
        <color rgb="FF000000"/>
        <rFont val="Calibri"/>
      </rPr>
      <t xml:space="preserve">Sarigiannis, D., Karakitsios, S., Handakas, E., &amp; Gotti, A. (2020). Development of a generic lifelong physiologically based biokinetic model for exposome studies. </t>
    </r>
    <r>
      <rPr>
        <i/>
        <sz val="14"/>
        <color rgb="FF000000"/>
        <rFont val="Calibri"/>
      </rPr>
      <t>Environmental Research</t>
    </r>
    <r>
      <rPr>
        <sz val="14"/>
        <color rgb="FF000000"/>
        <rFont val="Calibri"/>
      </rPr>
      <t xml:space="preserve">, </t>
    </r>
    <r>
      <rPr>
        <i/>
        <sz val="14"/>
        <color rgb="FF000000"/>
        <rFont val="Calibri"/>
      </rPr>
      <t>185</t>
    </r>
    <r>
      <rPr>
        <sz val="14"/>
        <color rgb="FF000000"/>
        <rFont val="Calibri"/>
      </rPr>
      <t>, 109307. https://doi.org/10.1016/j.envres.2020.109307</t>
    </r>
  </si>
  <si>
    <t>Sholler et al. 1987</t>
  </si>
  <si>
    <t>10.1016/0002-9149(87)90363-8</t>
  </si>
  <si>
    <r>
      <t>Sholler, G. F., Celermajer, J. M., Whight, C. M., &amp; Bauman, A. (1987). Echo Doppler assessment of cardiac output and its relation to growth in normal infants. T</t>
    </r>
    <r>
      <rPr>
        <i/>
        <sz val="14"/>
        <color rgb="FF000000"/>
        <rFont val="Calibri"/>
        <family val="2"/>
      </rPr>
      <t>he American Journal Of Cardiology</t>
    </r>
    <r>
      <rPr>
        <sz val="14"/>
        <color rgb="FF000000"/>
        <rFont val="Calibri"/>
        <family val="2"/>
      </rPr>
      <t xml:space="preserve">, </t>
    </r>
    <r>
      <rPr>
        <i/>
        <sz val="14"/>
        <color rgb="FF000000"/>
        <rFont val="Calibri"/>
        <family val="2"/>
      </rPr>
      <t>60</t>
    </r>
    <r>
      <rPr>
        <sz val="14"/>
        <color rgb="FF000000"/>
        <rFont val="Calibri"/>
        <family val="2"/>
      </rPr>
      <t>(13), 1112‑1116. https://doi.org/10.1016/0002-9149(87)90363-8</t>
    </r>
  </si>
  <si>
    <t>Smith et al. 2014</t>
  </si>
  <si>
    <t>10.1016/j.yrtph.2013.10.005</t>
  </si>
  <si>
    <r>
      <rPr>
        <sz val="14"/>
        <color rgb="FF000000"/>
        <rFont val="Calibri"/>
      </rPr>
      <t xml:space="preserve">Smith, J. N., Hinderliter, P. M., Timchalk, C., Bartels, M., &amp; Poet, T. S. (2014). A human life-stage physiologically based pharmacokinetic and pharmacodynamic model for chlorpyrifos : Development and validation. </t>
    </r>
    <r>
      <rPr>
        <i/>
        <sz val="14"/>
        <color rgb="FF000000"/>
        <rFont val="Calibri"/>
      </rPr>
      <t>Regulatory Toxicology And Pharmacology</t>
    </r>
    <r>
      <rPr>
        <sz val="14"/>
        <color rgb="FF000000"/>
        <rFont val="Calibri"/>
      </rPr>
      <t xml:space="preserve">, </t>
    </r>
    <r>
      <rPr>
        <i/>
        <sz val="14"/>
        <color rgb="FF000000"/>
        <rFont val="Calibri"/>
      </rPr>
      <t>69</t>
    </r>
    <r>
      <rPr>
        <sz val="14"/>
        <color rgb="FF000000"/>
        <rFont val="Calibri"/>
      </rPr>
      <t>(3), 580‑597. https://doi.org/10.1016/j.yrtph.2013.10.005</t>
    </r>
  </si>
  <si>
    <t>Stader et al. 2019</t>
  </si>
  <si>
    <t xml:space="preserve"> 10.1007/s40262-018-0709-7 </t>
  </si>
  <si>
    <r>
      <t xml:space="preserve">Stader, F., Siccardi, M., Battegay, M., Kinvig, H., Penny, M. A., &amp; Marzolini, C. (2018). Repository Describing an Aging Population to Inform Physiologically Based Pharmacokinetic Models Considering Anatomical, Physiological, and Biological Age-Dependent Changes. </t>
    </r>
    <r>
      <rPr>
        <i/>
        <sz val="14"/>
        <rFont val="Calibri"/>
        <family val="2"/>
      </rPr>
      <t>Clinical Pharmacokinetics</t>
    </r>
    <r>
      <rPr>
        <sz val="14"/>
        <rFont val="Calibri"/>
        <family val="2"/>
      </rPr>
      <t xml:space="preserve">, </t>
    </r>
    <r>
      <rPr>
        <i/>
        <sz val="14"/>
        <rFont val="Calibri"/>
        <family val="2"/>
      </rPr>
      <t>58</t>
    </r>
    <r>
      <rPr>
        <sz val="14"/>
        <rFont val="Calibri"/>
        <family val="2"/>
      </rPr>
      <t>(4), 483‑501. https://doi.org/10.1007/s40262-018-0709-7</t>
    </r>
  </si>
  <si>
    <t>Verbraecken et al. 2006</t>
  </si>
  <si>
    <t xml:space="preserve">10.1016/j.metabol.2005.11.004 </t>
  </si>
  <si>
    <r>
      <t xml:space="preserve">Verbraecken, J., Van de Heyning, P., De Backer, W., &amp; Van Gaal, L. (2006). Body surface area in normal-weight, overweight, and obese adults. A comparison study. </t>
    </r>
    <r>
      <rPr>
        <i/>
        <sz val="14"/>
        <rFont val="Calibri"/>
        <family val="2"/>
      </rPr>
      <t>Metabolism, Clinical And Experimental</t>
    </r>
    <r>
      <rPr>
        <sz val="14"/>
        <rFont val="Calibri"/>
        <family val="2"/>
      </rPr>
      <t xml:space="preserve">, </t>
    </r>
    <r>
      <rPr>
        <i/>
        <sz val="14"/>
        <rFont val="Calibri"/>
        <family val="2"/>
      </rPr>
      <t>55</t>
    </r>
    <r>
      <rPr>
        <sz val="14"/>
        <rFont val="Calibri"/>
        <family val="2"/>
      </rPr>
      <t>(4), 515‑524. https://doi.org/10.1016/j.metabol.2005.11.004</t>
    </r>
  </si>
  <si>
    <t>Verner et al. 2008</t>
  </si>
  <si>
    <t>10.1289/ehp.10917</t>
  </si>
  <si>
    <r>
      <rPr>
        <sz val="14"/>
        <color rgb="FF000000"/>
        <rFont val="Calibri"/>
      </rPr>
      <t xml:space="preserve">Verner, M., Charbonneau, M., López‐Carrillo, L., &amp; Haddad, S. (2008). Physiologically Based Pharmacokinetic Modeling of Persistent OrganicPollutants for Lifetime Exposure Assessment : A New Tool in Breast CancerEpidemiologic Studies. </t>
    </r>
    <r>
      <rPr>
        <i/>
        <sz val="14"/>
        <color rgb="FF000000"/>
        <rFont val="Calibri"/>
      </rPr>
      <t>Environmental Health Perspectives</t>
    </r>
    <r>
      <rPr>
        <sz val="14"/>
        <color rgb="FF000000"/>
        <rFont val="Calibri"/>
      </rPr>
      <t xml:space="preserve">, </t>
    </r>
    <r>
      <rPr>
        <i/>
        <sz val="14"/>
        <color rgb="FF000000"/>
        <rFont val="Calibri"/>
      </rPr>
      <t>116</t>
    </r>
    <r>
      <rPr>
        <sz val="14"/>
        <color rgb="FF000000"/>
        <rFont val="Calibri"/>
      </rPr>
      <t>(7), 886‑892. https://doi.org/10.1289/ehp.10917</t>
    </r>
  </si>
  <si>
    <t>10.1007/s13539-011-0042-6</t>
  </si>
  <si>
    <r>
      <t xml:space="preserve">Webber, C. E., &amp; Barr, R. D. (2011). Age‐ and gender‐dependent values of skeletal muscle mass in healthy children and adolescents. </t>
    </r>
    <r>
      <rPr>
        <i/>
        <sz val="14"/>
        <rFont val="Calibri"/>
        <family val="2"/>
      </rPr>
      <t>Journal Of Cachexia, Sarcopenia And Muscle</t>
    </r>
    <r>
      <rPr>
        <sz val="14"/>
        <rFont val="Calibri"/>
        <family val="2"/>
      </rPr>
      <t xml:space="preserve">, </t>
    </r>
    <r>
      <rPr>
        <i/>
        <sz val="14"/>
        <rFont val="Calibri"/>
        <family val="2"/>
      </rPr>
      <t>3</t>
    </r>
    <r>
      <rPr>
        <sz val="14"/>
        <rFont val="Calibri"/>
        <family val="2"/>
      </rPr>
      <t>(1), 25‑29. https://doi.org/10.1007/s13539-011-0042-6</t>
    </r>
  </si>
  <si>
    <t xml:space="preserve">10.1007/s10928-007-9053-5 </t>
  </si>
  <si>
    <r>
      <t xml:space="preserve">Willmann, S., Höhn, K., Edginton, A. N., Sevestre, M., Solodenko, J., Weiß, W., Lippert, J., &amp; Schmitt, W. (2007). Development of a Physiology-Based Whole-Body Population Model for Assessing the Influence of Individual Variability on the Pharmacokinetics of Drugs. </t>
    </r>
    <r>
      <rPr>
        <i/>
        <sz val="14"/>
        <rFont val="Calibri"/>
        <family val="2"/>
      </rPr>
      <t>Journal Of Pharmacokinetics And Pharmacodynamics</t>
    </r>
    <r>
      <rPr>
        <sz val="14"/>
        <rFont val="Calibri"/>
        <family val="2"/>
      </rPr>
      <t xml:space="preserve">, </t>
    </r>
    <r>
      <rPr>
        <i/>
        <sz val="14"/>
        <rFont val="Calibri"/>
        <family val="2"/>
      </rPr>
      <t>34</t>
    </r>
    <r>
      <rPr>
        <sz val="14"/>
        <rFont val="Calibri"/>
        <family val="2"/>
      </rPr>
      <t>(3), 401‑431. https://doi.org/10.1007/s10928-007-9053-5</t>
    </r>
  </si>
  <si>
    <t>39 + Lifetime</t>
  </si>
  <si>
    <t>10.1016/j.envint.2015.05.006</t>
  </si>
  <si>
    <r>
      <rPr>
        <sz val="14"/>
        <color rgb="FF000000"/>
        <rFont val="Calibri"/>
      </rPr>
      <t xml:space="preserve">Wu, H., Yoon, M., Verner, M., Xue, J., Luo, M., Andersen, M. E., Longnecker, M. P., &amp; Clewell, H. J. (2015). Can the observed association between serum perfluoroalkyl substances and delayed menarche be explained on the basis of puberty-related changes in physiology and pharmacokinetics ? </t>
    </r>
    <r>
      <rPr>
        <i/>
        <sz val="14"/>
        <color rgb="FF000000"/>
        <rFont val="Calibri"/>
      </rPr>
      <t>Environment International</t>
    </r>
    <r>
      <rPr>
        <sz val="14"/>
        <color rgb="FF000000"/>
        <rFont val="Calibri"/>
      </rPr>
      <t xml:space="preserve">, </t>
    </r>
    <r>
      <rPr>
        <i/>
        <sz val="14"/>
        <color rgb="FF000000"/>
        <rFont val="Calibri"/>
      </rPr>
      <t>82</t>
    </r>
    <r>
      <rPr>
        <sz val="14"/>
        <color rgb="FF000000"/>
        <rFont val="Calibri"/>
      </rPr>
      <t>, 61‑68. https://doi.org/10.1016/j.envint.2015.05.006</t>
    </r>
  </si>
  <si>
    <t>10.1093/ajcn/39.3.427</t>
  </si>
  <si>
    <r>
      <t xml:space="preserve">Yip, R., Johnson, C., &amp; Dallman, P. R. (1984). Age-related changes in laboratory values used in the diagnosis of anemia and iron deficiency. </t>
    </r>
    <r>
      <rPr>
        <i/>
        <sz val="14"/>
        <color rgb="FF000000"/>
        <rFont val="Calibri"/>
        <family val="2"/>
      </rPr>
      <t>The American Journal Of Clinical Nutrition</t>
    </r>
    <r>
      <rPr>
        <sz val="14"/>
        <color rgb="FF000000"/>
        <rFont val="Calibri"/>
        <family val="2"/>
      </rPr>
      <t xml:space="preserve">, </t>
    </r>
    <r>
      <rPr>
        <i/>
        <sz val="14"/>
        <color rgb="FF000000"/>
        <rFont val="Calibri"/>
        <family val="2"/>
      </rPr>
      <t>39</t>
    </r>
    <r>
      <rPr>
        <sz val="14"/>
        <color rgb="FF000000"/>
        <rFont val="Calibri"/>
        <family val="2"/>
      </rPr>
      <t>(3), 427‑436. https://doi.org/10.1093/ajcn/39.3.427</t>
    </r>
  </si>
  <si>
    <t>10.1080/15287390802647203</t>
  </si>
  <si>
    <r>
      <t xml:space="preserve">Young, J. F., Luecke, R. H., Pearce, B. A., Lee, T., Ahn, H., Baek, S., Moon, H., Dye, D. W., Davis, T. M., &amp; Taylor, S. G. (2009). Human Organ/Tissue Growth Algorithms that Include Obese Individuals and Black/White Population Organ Weight Similarities from Autopsy Data. </t>
    </r>
    <r>
      <rPr>
        <i/>
        <sz val="14"/>
        <rFont val="Calibri"/>
        <family val="2"/>
      </rPr>
      <t>Journal Of Toxicology And Environmental Health</t>
    </r>
    <r>
      <rPr>
        <sz val="14"/>
        <rFont val="Calibri"/>
        <family val="2"/>
      </rPr>
      <t xml:space="preserve">, </t>
    </r>
    <r>
      <rPr>
        <i/>
        <sz val="14"/>
        <rFont val="Calibri"/>
        <family val="2"/>
      </rPr>
      <t>72</t>
    </r>
    <r>
      <rPr>
        <sz val="14"/>
        <rFont val="Calibri"/>
        <family val="2"/>
      </rPr>
      <t>(8), 527‑540. https://doi.org/10.1080/15287390802647203</t>
    </r>
  </si>
  <si>
    <t>Thomas Gastellu[1,2], Achilleas Karakoltzidis[3,4], Aude Ratier[5], Marie Bellouard[6,7], Jean-Claude Alvarez[6,7], Bruno Le Bizec[1], Gilles Rivière[2], Spyros Karakitsios[3,4], Dimosthenis A. Sarigiannis[3,4], Carolina Vogs[8,9*]</t>
  </si>
  <si>
    <t>1. Oniris, INRAE, LABERCA, Nantes, 44300, France
2. Risk Assessment Department - French Agency for Food, Environmental and Occupational Health and Safety (ANSES), Maisons-Alfort, 94700, France
3. Aristotle University of Thessaloniki, Department of Chemical Engineering, Environmental Engineering Laboratory, University Campus, Thessaloniki 54124, Greece
4. HERACLES Research Center on the Exposome and Health, Center for Interdisciplinary Research and Innovation, Balkan Center, Bldg. B, 10th km Thessaloniki – Thermi Road, 57001, Greece
5. INERIS, Unit of Experimental Toxicology and Modelling, Verneuil-en-Halatte, France
6. Toxicology laboratory, Raymond Poincaré hospital, AP-HP, 92380 Garches, France
7. MasSpecLab Platform, UMR1173, Inserm, 78180 Montigny-le-Bretonneux, France
8. Department of Animal Biosciences, Swedish University of Agricultural Sciences (SLU), Uppsala, Sweden
9. Institute of Environmental Medicine, Karolinska Institutet, Stockholm, Sweden
* Corresponding 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</si>
</sst>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66" x14ac:knownFonts="1">
    <font>
      <sz val="10"/>
      <name val="Arial"/>
      <family val="2"/>
      <charset val="1"/>
    </font>
    <font>
      <sz val="12"/>
      <name val="Calibri"/>
      <family val="2"/>
      <charset val="1"/>
    </font>
    <font>
      <b/>
      <sz val="14"/>
      <color rgb="FFFFFFFF"/>
      <name val="Calibri"/>
      <family val="2"/>
      <charset val="1"/>
    </font>
    <font>
      <b/>
      <sz val="13"/>
      <name val="Calibri"/>
      <family val="2"/>
      <charset val="1"/>
    </font>
    <font>
      <b/>
      <sz val="12"/>
      <name val="Calibri"/>
      <family val="2"/>
      <charset val="1"/>
    </font>
    <font>
      <sz val="12"/>
      <color rgb="FFBABABA"/>
      <name val="Calibri"/>
      <family val="2"/>
      <charset val="1"/>
    </font>
    <font>
      <vertAlign val="superscript"/>
      <sz val="12"/>
      <name val="Calibri"/>
      <family val="2"/>
      <charset val="1"/>
    </font>
    <font>
      <b/>
      <sz val="13"/>
      <color rgb="FF000000"/>
      <name val="Calibri"/>
      <family val="2"/>
      <charset val="1"/>
    </font>
    <font>
      <b/>
      <sz val="12"/>
      <color rgb="FFFF0000"/>
      <name val="Calibri"/>
      <family val="2"/>
      <charset val="1"/>
    </font>
    <font>
      <sz val="12"/>
      <color rgb="FFFF0000"/>
      <name val="Calibri"/>
      <family val="2"/>
      <charset val="1"/>
    </font>
    <font>
      <sz val="10"/>
      <name val="Calibri"/>
      <family val="2"/>
      <charset val="1"/>
    </font>
    <font>
      <b/>
      <sz val="18"/>
      <name val="Calibri"/>
      <family val="2"/>
      <charset val="1"/>
    </font>
    <font>
      <u/>
      <sz val="14"/>
      <name val="Calibri"/>
      <family val="2"/>
      <charset val="1"/>
    </font>
    <font>
      <sz val="12"/>
      <color rgb="FFA5A5A5"/>
      <name val="Calibri"/>
      <family val="2"/>
      <charset val="1"/>
    </font>
    <font>
      <sz val="12"/>
      <color rgb="FF000000"/>
      <name val="Calibri"/>
      <family val="2"/>
      <charset val="1"/>
    </font>
    <font>
      <b/>
      <sz val="12"/>
      <color rgb="FF000000"/>
      <name val="Calibri"/>
      <family val="2"/>
      <charset val="1"/>
    </font>
    <font>
      <b/>
      <sz val="12"/>
      <color rgb="FF000000"/>
      <name val="Calibri"/>
      <family val="2"/>
    </font>
    <font>
      <sz val="12"/>
      <color rgb="FF000000"/>
      <name val="Calibri"/>
      <family val="2"/>
    </font>
    <font>
      <vertAlign val="subscript"/>
      <sz val="12"/>
      <color rgb="FF000000"/>
      <name val="Calibri"/>
      <family val="2"/>
    </font>
    <font>
      <b/>
      <sz val="12"/>
      <name val="Calibri"/>
      <family val="2"/>
    </font>
    <font>
      <sz val="12"/>
      <name val="Calibri"/>
      <family val="2"/>
    </font>
    <font>
      <sz val="10"/>
      <name val="Calibri"/>
      <family val="2"/>
    </font>
    <font>
      <b/>
      <sz val="16"/>
      <name val="Calibri"/>
      <family val="2"/>
    </font>
    <font>
      <u/>
      <sz val="12"/>
      <color rgb="FF000000"/>
      <name val="Calibri"/>
      <family val="2"/>
    </font>
    <font>
      <b/>
      <sz val="14"/>
      <name val="Calibri"/>
      <family val="2"/>
    </font>
    <font>
      <sz val="14"/>
      <name val="Calibri"/>
      <family val="2"/>
    </font>
    <font>
      <sz val="14"/>
      <color rgb="FF05103E"/>
      <name val="Calibri"/>
      <family val="2"/>
    </font>
    <font>
      <i/>
      <sz val="14"/>
      <color rgb="FF05103E"/>
      <name val="Calibri"/>
      <family val="2"/>
    </font>
    <font>
      <i/>
      <sz val="14"/>
      <name val="Calibri"/>
      <family val="2"/>
    </font>
    <font>
      <sz val="14"/>
      <color rgb="FF000000"/>
      <name val="Calibri"/>
      <family val="2"/>
    </font>
    <font>
      <i/>
      <sz val="14"/>
      <color rgb="FF000000"/>
      <name val="Calibri"/>
      <family val="2"/>
    </font>
    <font>
      <sz val="14"/>
      <color rgb="FF212529"/>
      <name val="Calibri"/>
      <family val="2"/>
    </font>
    <font>
      <sz val="14"/>
      <color rgb="FF212121"/>
      <name val="Calibri"/>
      <family val="2"/>
    </font>
    <font>
      <u/>
      <sz val="14"/>
      <name val="Calibri"/>
      <family val="2"/>
    </font>
    <font>
      <b/>
      <u/>
      <sz val="14"/>
      <name val="Calibri"/>
      <family val="2"/>
    </font>
    <font>
      <sz val="16"/>
      <name val="Calibri"/>
      <family val="2"/>
      <charset val="1"/>
    </font>
    <font>
      <sz val="16"/>
      <color rgb="FFFF0000"/>
      <name val="Calibri"/>
      <family val="2"/>
      <charset val="1"/>
    </font>
    <font>
      <sz val="16"/>
      <color rgb="FFFF0000"/>
      <name val="Calibri"/>
      <family val="2"/>
    </font>
    <font>
      <b/>
      <u/>
      <sz val="18"/>
      <name val="Calibri"/>
      <family val="2"/>
    </font>
    <font>
      <sz val="10"/>
      <color rgb="FFFF0000"/>
      <name val="Arial"/>
      <family val="2"/>
      <charset val="1"/>
    </font>
    <font>
      <sz val="16"/>
      <color rgb="FFFF0000"/>
      <name val="Arial"/>
      <family val="2"/>
      <charset val="1"/>
    </font>
    <font>
      <b/>
      <sz val="12"/>
      <name val="Arial"/>
      <family val="2"/>
    </font>
    <font>
      <b/>
      <sz val="16"/>
      <color rgb="FFFF0000"/>
      <name val="Arial"/>
      <family val="2"/>
    </font>
    <font>
      <b/>
      <sz val="12"/>
      <color theme="9"/>
      <name val="Calibri"/>
      <family val="2"/>
    </font>
    <font>
      <sz val="12"/>
      <color theme="9"/>
      <name val="Calibri"/>
      <family val="2"/>
    </font>
    <font>
      <sz val="12"/>
      <color theme="1"/>
      <name val="Calibri"/>
      <family val="2"/>
      <charset val="1"/>
    </font>
    <font>
      <sz val="12"/>
      <color theme="1"/>
      <name val="Calibri"/>
      <family val="2"/>
    </font>
    <font>
      <u/>
      <sz val="14"/>
      <color theme="1"/>
      <name val="Calibri"/>
      <family val="2"/>
      <charset val="1"/>
    </font>
    <font>
      <b/>
      <sz val="14"/>
      <color theme="1"/>
      <name val="Calibri"/>
      <family val="2"/>
      <charset val="1"/>
    </font>
    <font>
      <b/>
      <sz val="12"/>
      <color theme="0"/>
      <name val="Calibri"/>
      <family val="2"/>
    </font>
    <font>
      <sz val="12"/>
      <color theme="0"/>
      <name val="Calibri"/>
      <family val="2"/>
    </font>
    <font>
      <sz val="18"/>
      <name val="Calibri"/>
      <family val="2"/>
    </font>
    <font>
      <b/>
      <sz val="14"/>
      <name val="Calibri"/>
      <family val="2"/>
      <charset val="1"/>
    </font>
    <font>
      <b/>
      <sz val="12"/>
      <color rgb="FF000000"/>
      <name val="Calibri"/>
    </font>
    <font>
      <sz val="12"/>
      <color rgb="FF000000"/>
      <name val="Calibri"/>
    </font>
    <font>
      <vertAlign val="superscript"/>
      <sz val="12"/>
      <color rgb="FF000000"/>
      <name val="Calibri"/>
    </font>
    <font>
      <vertAlign val="subscript"/>
      <sz val="12"/>
      <color rgb="FF000000"/>
      <name val="Calibri"/>
    </font>
    <font>
      <b/>
      <sz val="12"/>
      <name val="Calibri"/>
    </font>
    <font>
      <b/>
      <sz val="16"/>
      <color rgb="FFFF0000"/>
      <name val="Arial"/>
      <family val="2"/>
      <charset val="1"/>
    </font>
    <font>
      <sz val="12"/>
      <color rgb="FFBABABA"/>
      <name val="Calibri"/>
    </font>
    <font>
      <b/>
      <sz val="12"/>
      <color theme="1"/>
      <name val="Calibri"/>
      <family val="2"/>
      <charset val="1"/>
    </font>
    <font>
      <i/>
      <sz val="12"/>
      <name val="Calibri"/>
      <family val="2"/>
    </font>
    <font>
      <i/>
      <sz val="12"/>
      <name val="Calibri"/>
    </font>
    <font>
      <i/>
      <sz val="12"/>
      <color rgb="FF000000"/>
      <name val="Calibri"/>
      <family val="2"/>
    </font>
    <font>
      <sz val="14"/>
      <color rgb="FF000000"/>
      <name val="Calibri"/>
    </font>
    <font>
      <i/>
      <sz val="14"/>
      <color rgb="FF000000"/>
      <name val="Calibri"/>
    </font>
  </fonts>
  <fills count="29">
    <fill>
      <patternFill patternType="none"/>
    </fill>
    <fill>
      <patternFill patternType="gray125"/>
    </fill>
    <fill>
      <patternFill patternType="solid">
        <fgColor rgb="FFA5A5A5"/>
        <bgColor rgb="FFBABABA"/>
      </patternFill>
    </fill>
    <fill>
      <patternFill patternType="solid">
        <fgColor rgb="FFBABABA"/>
        <bgColor rgb="FFA5A5A5"/>
      </patternFill>
    </fill>
    <fill>
      <patternFill patternType="solid">
        <fgColor rgb="FFFE7F00"/>
        <bgColor rgb="FFFF9900"/>
      </patternFill>
    </fill>
    <fill>
      <patternFill patternType="solid">
        <fgColor rgb="FFE8E8E8"/>
        <bgColor rgb="FFFFFFFF"/>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6" tint="0.59999389629810485"/>
        <bgColor rgb="FFFFFFFF"/>
      </patternFill>
    </fill>
    <fill>
      <patternFill patternType="solid">
        <fgColor theme="8" tint="0.79998168889431442"/>
        <bgColor rgb="FFFFFF00"/>
      </patternFill>
    </fill>
    <fill>
      <patternFill patternType="solid">
        <fgColor theme="0" tint="-4.9989318521683403E-2"/>
        <bgColor rgb="FFFFFF00"/>
      </patternFill>
    </fill>
    <fill>
      <patternFill patternType="solid">
        <fgColor rgb="FFFFD646"/>
        <bgColor rgb="FF000000"/>
      </patternFill>
    </fill>
    <fill>
      <patternFill patternType="solid">
        <fgColor theme="8" tint="0.39997558519241921"/>
        <bgColor rgb="FFBABABA"/>
      </patternFill>
    </fill>
    <fill>
      <patternFill patternType="solid">
        <fgColor theme="8" tint="0.59999389629810485"/>
        <bgColor rgb="FFBABABA"/>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9" tint="0.59999389629810485"/>
        <bgColor indexed="64"/>
      </patternFill>
    </fill>
  </fills>
  <borders count="6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style="thin">
        <color auto="1"/>
      </left>
      <right style="medium">
        <color indexed="64"/>
      </right>
      <top style="medium">
        <color indexed="64"/>
      </top>
      <bottom style="thin">
        <color auto="1"/>
      </bottom>
      <diagonal/>
    </border>
    <border>
      <left style="medium">
        <color indexed="64"/>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diagonal/>
    </border>
    <border>
      <left style="medium">
        <color indexed="64"/>
      </left>
      <right style="thin">
        <color rgb="FF000000"/>
      </right>
      <top style="medium">
        <color indexed="64"/>
      </top>
      <bottom/>
      <diagonal/>
    </border>
    <border>
      <left style="medium">
        <color indexed="64"/>
      </left>
      <right style="thin">
        <color rgb="FF000000"/>
      </right>
      <top/>
      <bottom style="medium">
        <color indexed="64"/>
      </bottom>
      <diagonal/>
    </border>
    <border>
      <left style="medium">
        <color indexed="64"/>
      </left>
      <right style="thin">
        <color rgb="FF000000"/>
      </right>
      <top/>
      <bottom style="thin">
        <color rgb="FF000000"/>
      </bottom>
      <diagonal/>
    </border>
    <border>
      <left style="thin">
        <color auto="1"/>
      </left>
      <right style="medium">
        <color indexed="64"/>
      </right>
      <top/>
      <bottom style="thin">
        <color auto="1"/>
      </bottom>
      <diagonal/>
    </border>
    <border>
      <left style="medium">
        <color indexed="64"/>
      </left>
      <right style="thin">
        <color rgb="FF000000"/>
      </right>
      <top style="thin">
        <color rgb="FF000000"/>
      </top>
      <bottom/>
      <diagonal/>
    </border>
    <border>
      <left style="thin">
        <color auto="1"/>
      </left>
      <right style="medium">
        <color indexed="64"/>
      </right>
      <top style="thin">
        <color auto="1"/>
      </top>
      <bottom/>
      <diagonal/>
    </border>
    <border>
      <left style="medium">
        <color indexed="64"/>
      </left>
      <right style="thin">
        <color rgb="FF000000"/>
      </right>
      <top/>
      <bottom/>
      <diagonal/>
    </border>
    <border>
      <left/>
      <right style="thin">
        <color auto="1"/>
      </right>
      <top style="thin">
        <color auto="1"/>
      </top>
      <bottom style="thin">
        <color auto="1"/>
      </bottom>
      <diagonal/>
    </border>
    <border>
      <left style="thin">
        <color rgb="FF000000"/>
      </left>
      <right style="medium">
        <color indexed="64"/>
      </right>
      <top style="medium">
        <color indexed="64"/>
      </top>
      <bottom style="thin">
        <color rgb="FF000000"/>
      </bottom>
      <diagonal/>
    </border>
    <border>
      <left style="thin">
        <color rgb="FF000000"/>
      </left>
      <right style="medium">
        <color indexed="64"/>
      </right>
      <top style="thin">
        <color rgb="FF000000"/>
      </top>
      <bottom/>
      <diagonal/>
    </border>
    <border>
      <left style="thin">
        <color rgb="FF000000"/>
      </left>
      <right style="medium">
        <color indexed="64"/>
      </right>
      <top style="thin">
        <color rgb="FF000000"/>
      </top>
      <bottom style="medium">
        <color indexed="64"/>
      </bottom>
      <diagonal/>
    </border>
    <border>
      <left style="thin">
        <color rgb="FF000000"/>
      </left>
      <right style="medium">
        <color indexed="64"/>
      </right>
      <top/>
      <bottom style="thin">
        <color rgb="FF000000"/>
      </bottom>
      <diagonal/>
    </border>
    <border>
      <left style="thin">
        <color auto="1"/>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double">
        <color indexed="64"/>
      </bottom>
      <diagonal/>
    </border>
    <border>
      <left style="thin">
        <color auto="1"/>
      </left>
      <right/>
      <top style="thin">
        <color auto="1"/>
      </top>
      <bottom style="double">
        <color indexed="64"/>
      </bottom>
      <diagonal/>
    </border>
    <border>
      <left/>
      <right style="thin">
        <color auto="1"/>
      </right>
      <top style="thin">
        <color auto="1"/>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top style="thin">
        <color auto="1"/>
      </top>
      <bottom style="thin">
        <color auto="1"/>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rgb="FF000000"/>
      </left>
      <right style="medium">
        <color indexed="64"/>
      </right>
      <top/>
      <bottom style="medium">
        <color indexed="64"/>
      </bottom>
      <diagonal/>
    </border>
    <border>
      <left style="thin">
        <color rgb="FF000000"/>
      </left>
      <right style="medium">
        <color indexed="64"/>
      </right>
      <top/>
      <bottom/>
      <diagonal/>
    </border>
    <border>
      <left style="medium">
        <color indexed="64"/>
      </left>
      <right style="thin">
        <color auto="1"/>
      </right>
      <top/>
      <bottom style="thin">
        <color auto="1"/>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409">
    <xf numFmtId="0" fontId="0" fillId="0" borderId="0" xfId="0"/>
    <xf numFmtId="0" fontId="1" fillId="0" borderId="0" xfId="0" applyFont="1" applyAlignment="1">
      <alignment horizontal="left" vertical="center"/>
    </xf>
    <xf numFmtId="0" fontId="1" fillId="0" borderId="0" xfId="0" applyFont="1" applyAlignment="1">
      <alignment horizontal="right" vertical="center" indent="1"/>
    </xf>
    <xf numFmtId="0" fontId="1" fillId="0" borderId="0" xfId="0" applyFont="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4" fillId="3" borderId="1" xfId="0" applyFont="1" applyFill="1" applyBorder="1" applyAlignment="1">
      <alignment horizontal="right" vertical="center" wrapText="1" indent="1"/>
    </xf>
    <xf numFmtId="0" fontId="4" fillId="0" borderId="1" xfId="0" applyFont="1" applyBorder="1" applyAlignment="1">
      <alignment horizontal="left" vertical="center" wrapText="1" indent="1"/>
    </xf>
    <xf numFmtId="0" fontId="4" fillId="0" borderId="1" xfId="0" applyFont="1" applyBorder="1" applyAlignment="1">
      <alignment horizontal="left" vertical="center" indent="1"/>
    </xf>
    <xf numFmtId="0" fontId="1" fillId="0" borderId="1" xfId="0" applyFont="1" applyBorder="1" applyAlignment="1">
      <alignment horizontal="center" vertical="center" wrapText="1"/>
    </xf>
    <xf numFmtId="0" fontId="5" fillId="0" borderId="1" xfId="0" applyFont="1" applyBorder="1" applyAlignment="1">
      <alignment horizontal="left" vertical="center" wrapText="1" indent="1"/>
    </xf>
    <xf numFmtId="0" fontId="1" fillId="0" borderId="1" xfId="0" applyFont="1" applyBorder="1" applyAlignment="1">
      <alignment horizontal="center" wrapText="1"/>
    </xf>
    <xf numFmtId="0" fontId="4" fillId="3" borderId="1" xfId="0" applyFont="1" applyFill="1" applyBorder="1" applyAlignment="1">
      <alignment horizontal="right" vertical="center" indent="1"/>
    </xf>
    <xf numFmtId="0" fontId="1" fillId="0" borderId="1" xfId="0" applyFont="1" applyBorder="1" applyAlignment="1">
      <alignment horizontal="center" vertical="center"/>
    </xf>
    <xf numFmtId="0" fontId="8" fillId="0" borderId="1" xfId="0" applyFont="1" applyBorder="1" applyAlignment="1">
      <alignment horizontal="left" vertical="center" wrapText="1" indent="1"/>
    </xf>
    <xf numFmtId="0" fontId="5" fillId="0" borderId="1" xfId="0" applyFont="1" applyBorder="1" applyAlignment="1">
      <alignment horizontal="left" vertical="center" wrapText="1" indent="2"/>
    </xf>
    <xf numFmtId="0" fontId="5" fillId="0" borderId="1" xfId="0" applyFont="1" applyBorder="1" applyAlignment="1">
      <alignment horizontal="left" vertical="center" wrapText="1" indent="3"/>
    </xf>
    <xf numFmtId="0" fontId="5" fillId="0" borderId="1" xfId="0" applyFont="1" applyBorder="1" applyAlignment="1">
      <alignment horizontal="left" vertical="center" wrapText="1" indent="5"/>
    </xf>
    <xf numFmtId="0" fontId="1" fillId="0" borderId="0" xfId="0" applyFont="1"/>
    <xf numFmtId="0" fontId="10" fillId="0" borderId="0" xfId="0" applyFont="1"/>
    <xf numFmtId="0" fontId="1" fillId="0" borderId="0" xfId="0" applyFont="1" applyAlignment="1">
      <alignment vertical="center"/>
    </xf>
    <xf numFmtId="0" fontId="4" fillId="0" borderId="1" xfId="0" applyFont="1" applyBorder="1" applyAlignment="1">
      <alignment horizontal="center"/>
    </xf>
    <xf numFmtId="2" fontId="1" fillId="5" borderId="1" xfId="0" applyNumberFormat="1" applyFont="1" applyFill="1" applyBorder="1" applyAlignment="1">
      <alignment horizontal="center"/>
    </xf>
    <xf numFmtId="0" fontId="4" fillId="0" borderId="1" xfId="0" applyFont="1" applyBorder="1" applyAlignment="1">
      <alignment horizontal="center" wrapText="1"/>
    </xf>
    <xf numFmtId="0" fontId="13" fillId="0" borderId="1" xfId="0" applyFont="1" applyBorder="1" applyAlignment="1">
      <alignment horizontal="center" vertical="center" wrapText="1"/>
    </xf>
    <xf numFmtId="0" fontId="4" fillId="0" borderId="1" xfId="0" applyFont="1" applyBorder="1" applyAlignment="1">
      <alignment wrapText="1"/>
    </xf>
    <xf numFmtId="0" fontId="4" fillId="0" borderId="0" xfId="0" applyFont="1" applyAlignment="1">
      <alignment vertical="center"/>
    </xf>
    <xf numFmtId="2" fontId="5" fillId="0" borderId="1" xfId="0" applyNumberFormat="1" applyFont="1" applyBorder="1" applyAlignment="1">
      <alignment horizontal="center" vertical="center" wrapText="1"/>
    </xf>
    <xf numFmtId="0" fontId="4" fillId="0" borderId="0" xfId="0" applyFont="1" applyAlignment="1">
      <alignment horizontal="left" vertical="center"/>
    </xf>
    <xf numFmtId="2" fontId="1" fillId="9" borderId="1" xfId="0" applyNumberFormat="1" applyFont="1" applyFill="1" applyBorder="1" applyAlignment="1">
      <alignment horizontal="center" vertical="center"/>
    </xf>
    <xf numFmtId="2" fontId="14" fillId="6" borderId="1" xfId="0" applyNumberFormat="1" applyFont="1" applyFill="1" applyBorder="1" applyAlignment="1">
      <alignment horizontal="center" vertical="center"/>
    </xf>
    <xf numFmtId="2" fontId="1" fillId="6" borderId="1" xfId="0" applyNumberFormat="1" applyFont="1" applyFill="1" applyBorder="1" applyAlignment="1">
      <alignment horizontal="center" vertical="center"/>
    </xf>
    <xf numFmtId="2" fontId="14" fillId="8" borderId="1" xfId="0" applyNumberFormat="1" applyFont="1" applyFill="1" applyBorder="1" applyAlignment="1">
      <alignment horizontal="center" vertical="center"/>
    </xf>
    <xf numFmtId="2" fontId="1" fillId="8" borderId="1" xfId="0" applyNumberFormat="1" applyFont="1" applyFill="1" applyBorder="1" applyAlignment="1">
      <alignment horizontal="center" vertical="center"/>
    </xf>
    <xf numFmtId="2" fontId="14" fillId="9" borderId="1" xfId="0" applyNumberFormat="1" applyFont="1" applyFill="1" applyBorder="1" applyAlignment="1">
      <alignment horizontal="center" vertical="center"/>
    </xf>
    <xf numFmtId="2" fontId="1" fillId="8" borderId="0" xfId="0" applyNumberFormat="1" applyFont="1" applyFill="1" applyAlignment="1">
      <alignment horizontal="center" vertical="center"/>
    </xf>
    <xf numFmtId="2" fontId="14" fillId="7" borderId="1" xfId="0" applyNumberFormat="1" applyFont="1" applyFill="1" applyBorder="1" applyAlignment="1">
      <alignment horizontal="center" vertical="center"/>
    </xf>
    <xf numFmtId="0" fontId="19" fillId="0" borderId="0" xfId="0" applyFont="1"/>
    <xf numFmtId="0" fontId="20" fillId="0" borderId="0" xfId="0" applyFont="1" applyAlignment="1">
      <alignment horizontal="center" vertical="center"/>
    </xf>
    <xf numFmtId="0" fontId="21" fillId="0" borderId="0" xfId="0" applyFont="1"/>
    <xf numFmtId="0" fontId="17" fillId="0" borderId="0" xfId="0" applyFont="1"/>
    <xf numFmtId="0" fontId="9" fillId="6" borderId="0" xfId="0" applyFont="1" applyFill="1" applyAlignment="1">
      <alignment vertical="center"/>
    </xf>
    <xf numFmtId="0" fontId="1" fillId="7" borderId="0" xfId="0" applyFont="1" applyFill="1" applyAlignment="1">
      <alignment vertical="center"/>
    </xf>
    <xf numFmtId="0" fontId="1" fillId="8" borderId="0" xfId="0" applyFont="1" applyFill="1" applyAlignment="1">
      <alignment vertical="center"/>
    </xf>
    <xf numFmtId="0" fontId="1" fillId="9" borderId="0" xfId="0" applyFont="1" applyFill="1" applyAlignment="1">
      <alignment vertical="center"/>
    </xf>
    <xf numFmtId="0" fontId="1" fillId="10" borderId="0" xfId="0" applyFont="1" applyFill="1" applyAlignment="1">
      <alignment vertical="center"/>
    </xf>
    <xf numFmtId="2" fontId="14" fillId="8" borderId="1" xfId="0" applyNumberFormat="1" applyFont="1" applyFill="1" applyBorder="1" applyAlignment="1">
      <alignment horizontal="center" vertical="center" wrapText="1"/>
    </xf>
    <xf numFmtId="0" fontId="4" fillId="11" borderId="1" xfId="0" applyFont="1" applyFill="1" applyBorder="1" applyAlignment="1">
      <alignment horizontal="left" vertical="center" wrapText="1" indent="1"/>
    </xf>
    <xf numFmtId="0" fontId="12" fillId="0" borderId="0" xfId="0" applyFont="1"/>
    <xf numFmtId="0" fontId="0" fillId="0" borderId="0" xfId="0" applyAlignment="1">
      <alignment horizontal="center"/>
    </xf>
    <xf numFmtId="0" fontId="24" fillId="12" borderId="1" xfId="0" applyFont="1" applyFill="1" applyBorder="1" applyAlignment="1">
      <alignment horizontal="center" vertical="center"/>
    </xf>
    <xf numFmtId="0" fontId="24" fillId="12" borderId="3" xfId="0" applyFont="1" applyFill="1" applyBorder="1" applyAlignment="1">
      <alignment horizontal="center" vertical="center"/>
    </xf>
    <xf numFmtId="0" fontId="24" fillId="12" borderId="2" xfId="0" applyFont="1" applyFill="1" applyBorder="1" applyAlignment="1">
      <alignment horizontal="center" vertical="center"/>
    </xf>
    <xf numFmtId="0" fontId="24" fillId="12" borderId="2" xfId="0" applyFont="1" applyFill="1" applyBorder="1" applyAlignment="1">
      <alignment horizontal="left" vertical="center"/>
    </xf>
    <xf numFmtId="0" fontId="25" fillId="12" borderId="0" xfId="0" applyFont="1" applyFill="1"/>
    <xf numFmtId="0" fontId="25" fillId="12" borderId="1" xfId="0" applyFont="1" applyFill="1" applyBorder="1" applyAlignment="1">
      <alignment horizontal="center" vertical="center"/>
    </xf>
    <xf numFmtId="0" fontId="25" fillId="12" borderId="3" xfId="0" applyFont="1" applyFill="1" applyBorder="1" applyAlignment="1">
      <alignment horizontal="center" vertical="center" wrapText="1"/>
    </xf>
    <xf numFmtId="0" fontId="25" fillId="12" borderId="2" xfId="0" applyFont="1" applyFill="1" applyBorder="1" applyAlignment="1">
      <alignment horizontal="center" vertical="center"/>
    </xf>
    <xf numFmtId="0" fontId="26" fillId="12" borderId="2" xfId="0" applyFont="1" applyFill="1" applyBorder="1" applyAlignment="1">
      <alignment horizontal="left" vertical="center" wrapText="1"/>
    </xf>
    <xf numFmtId="0" fontId="25" fillId="12" borderId="3" xfId="0" applyFont="1" applyFill="1" applyBorder="1" applyAlignment="1">
      <alignment horizontal="center" vertical="center"/>
    </xf>
    <xf numFmtId="0" fontId="25" fillId="12" borderId="2" xfId="0" applyFont="1" applyFill="1" applyBorder="1" applyAlignment="1">
      <alignment horizontal="left" vertical="center" wrapText="1"/>
    </xf>
    <xf numFmtId="0" fontId="28" fillId="12" borderId="2" xfId="0" applyFont="1" applyFill="1" applyBorder="1" applyAlignment="1">
      <alignment horizontal="left" vertical="center"/>
    </xf>
    <xf numFmtId="0" fontId="29" fillId="12" borderId="2" xfId="0" applyFont="1" applyFill="1" applyBorder="1" applyAlignment="1">
      <alignment horizontal="left" vertical="center" wrapText="1"/>
    </xf>
    <xf numFmtId="0" fontId="31" fillId="12" borderId="2" xfId="0" applyFont="1" applyFill="1" applyBorder="1" applyAlignment="1">
      <alignment horizontal="left" vertical="center"/>
    </xf>
    <xf numFmtId="0" fontId="31" fillId="12" borderId="2" xfId="0" applyFont="1" applyFill="1" applyBorder="1" applyAlignment="1">
      <alignment horizontal="left" vertical="center" wrapText="1"/>
    </xf>
    <xf numFmtId="0" fontId="25" fillId="12" borderId="2" xfId="0" applyFont="1" applyFill="1" applyBorder="1" applyAlignment="1">
      <alignment horizontal="center"/>
    </xf>
    <xf numFmtId="0" fontId="32" fillId="12" borderId="2" xfId="0" applyFont="1" applyFill="1" applyBorder="1" applyAlignment="1">
      <alignment horizontal="left" vertical="center" wrapText="1"/>
    </xf>
    <xf numFmtId="0" fontId="25" fillId="12" borderId="0" xfId="0" applyFont="1" applyFill="1" applyAlignment="1">
      <alignment horizontal="center" vertical="center"/>
    </xf>
    <xf numFmtId="0" fontId="25" fillId="12" borderId="0" xfId="0" applyFont="1" applyFill="1" applyAlignment="1">
      <alignment horizontal="left" vertical="center"/>
    </xf>
    <xf numFmtId="0" fontId="34" fillId="0" borderId="0" xfId="0" applyFont="1"/>
    <xf numFmtId="0" fontId="33" fillId="12" borderId="0" xfId="0" applyFont="1" applyFill="1"/>
    <xf numFmtId="0" fontId="21" fillId="0" borderId="0" xfId="0" applyFont="1" applyAlignment="1">
      <alignment horizontal="center"/>
    </xf>
    <xf numFmtId="2" fontId="20" fillId="0" borderId="5" xfId="0" applyNumberFormat="1" applyFont="1" applyBorder="1" applyAlignment="1">
      <alignment horizontal="center" vertical="center"/>
    </xf>
    <xf numFmtId="0" fontId="19" fillId="11" borderId="4" xfId="0" applyFont="1" applyFill="1" applyBorder="1" applyAlignment="1">
      <alignment horizontal="center" vertical="center"/>
    </xf>
    <xf numFmtId="2" fontId="20" fillId="13" borderId="6" xfId="0" applyNumberFormat="1" applyFont="1" applyFill="1" applyBorder="1" applyAlignment="1">
      <alignment horizontal="center" vertical="center"/>
    </xf>
    <xf numFmtId="2" fontId="20" fillId="13" borderId="10" xfId="0" applyNumberFormat="1" applyFont="1" applyFill="1" applyBorder="1" applyAlignment="1">
      <alignment horizontal="center" vertical="center"/>
    </xf>
    <xf numFmtId="2" fontId="20" fillId="13" borderId="11" xfId="0" applyNumberFormat="1" applyFont="1" applyFill="1" applyBorder="1" applyAlignment="1">
      <alignment horizontal="center"/>
    </xf>
    <xf numFmtId="2" fontId="20" fillId="0" borderId="13" xfId="0" applyNumberFormat="1" applyFont="1" applyBorder="1" applyAlignment="1">
      <alignment horizontal="center" vertical="center"/>
    </xf>
    <xf numFmtId="2" fontId="20" fillId="0" borderId="14" xfId="0" applyNumberFormat="1" applyFont="1" applyBorder="1" applyAlignment="1">
      <alignment horizontal="center"/>
    </xf>
    <xf numFmtId="2" fontId="20" fillId="13" borderId="11" xfId="0" applyNumberFormat="1" applyFont="1" applyFill="1" applyBorder="1" applyAlignment="1">
      <alignment horizontal="center" vertical="center"/>
    </xf>
    <xf numFmtId="2" fontId="20" fillId="0" borderId="14" xfId="0" applyNumberFormat="1" applyFont="1" applyBorder="1" applyAlignment="1">
      <alignment horizontal="center" vertical="center"/>
    </xf>
    <xf numFmtId="2" fontId="20" fillId="13" borderId="19" xfId="0" applyNumberFormat="1" applyFont="1" applyFill="1" applyBorder="1" applyAlignment="1">
      <alignment horizontal="center"/>
    </xf>
    <xf numFmtId="0" fontId="19" fillId="11" borderId="20" xfId="0" applyFont="1" applyFill="1" applyBorder="1" applyAlignment="1">
      <alignment horizontal="center" vertical="center"/>
    </xf>
    <xf numFmtId="2" fontId="20" fillId="0" borderId="21" xfId="0" applyNumberFormat="1" applyFont="1" applyBorder="1" applyAlignment="1">
      <alignment horizontal="center"/>
    </xf>
    <xf numFmtId="0" fontId="19" fillId="11" borderId="22" xfId="0" applyFont="1" applyFill="1" applyBorder="1" applyAlignment="1">
      <alignment horizontal="center" vertical="center"/>
    </xf>
    <xf numFmtId="2" fontId="20" fillId="13" borderId="19" xfId="0" applyNumberFormat="1" applyFont="1" applyFill="1" applyBorder="1" applyAlignment="1">
      <alignment horizontal="center" vertical="center"/>
    </xf>
    <xf numFmtId="2" fontId="20" fillId="0" borderId="21" xfId="0" applyNumberFormat="1" applyFont="1" applyBorder="1" applyAlignment="1">
      <alignment horizontal="center" vertical="center"/>
    </xf>
    <xf numFmtId="0" fontId="19" fillId="13" borderId="10" xfId="0" applyFont="1" applyFill="1" applyBorder="1" applyAlignment="1">
      <alignment horizontal="center" vertical="center"/>
    </xf>
    <xf numFmtId="0" fontId="19" fillId="0" borderId="13" xfId="0" applyFont="1" applyBorder="1" applyAlignment="1">
      <alignment horizontal="center" vertical="center"/>
    </xf>
    <xf numFmtId="0" fontId="19" fillId="13" borderId="6" xfId="0" applyFont="1" applyFill="1" applyBorder="1" applyAlignment="1">
      <alignment horizontal="center" vertical="center"/>
    </xf>
    <xf numFmtId="0" fontId="19" fillId="0" borderId="5" xfId="0" applyFont="1" applyBorder="1" applyAlignment="1">
      <alignment horizontal="center" vertical="center"/>
    </xf>
    <xf numFmtId="0" fontId="19" fillId="11" borderId="25" xfId="0" applyFont="1" applyFill="1" applyBorder="1" applyAlignment="1">
      <alignment horizontal="center" vertical="center"/>
    </xf>
    <xf numFmtId="164" fontId="20" fillId="13" borderId="9" xfId="0" applyNumberFormat="1" applyFont="1" applyFill="1" applyBorder="1" applyAlignment="1">
      <alignment horizontal="center" vertical="center"/>
    </xf>
    <xf numFmtId="11" fontId="20" fillId="13" borderId="24" xfId="0" applyNumberFormat="1" applyFont="1" applyFill="1" applyBorder="1" applyAlignment="1">
      <alignment horizontal="center" vertical="center"/>
    </xf>
    <xf numFmtId="164" fontId="20" fillId="0" borderId="12" xfId="0" applyNumberFormat="1" applyFont="1" applyBorder="1" applyAlignment="1">
      <alignment horizontal="center" vertical="center"/>
    </xf>
    <xf numFmtId="11" fontId="20" fillId="0" borderId="26" xfId="0" applyNumberFormat="1" applyFont="1" applyBorder="1" applyAlignment="1">
      <alignment horizontal="center" vertical="center"/>
    </xf>
    <xf numFmtId="11" fontId="20" fillId="13" borderId="27" xfId="0" applyNumberFormat="1" applyFont="1" applyFill="1" applyBorder="1" applyAlignment="1">
      <alignment horizontal="center" vertical="center"/>
    </xf>
    <xf numFmtId="11" fontId="20" fillId="0" borderId="25" xfId="0" applyNumberFormat="1" applyFont="1" applyBorder="1" applyAlignment="1">
      <alignment horizontal="center" vertical="center"/>
    </xf>
    <xf numFmtId="0" fontId="19" fillId="11" borderId="28" xfId="0" applyFont="1" applyFill="1" applyBorder="1" applyAlignment="1">
      <alignment horizontal="center" vertical="center"/>
    </xf>
    <xf numFmtId="2" fontId="20" fillId="13" borderId="9" xfId="0" applyNumberFormat="1" applyFont="1" applyFill="1" applyBorder="1" applyAlignment="1">
      <alignment horizontal="center" vertical="center"/>
    </xf>
    <xf numFmtId="2" fontId="20" fillId="0" borderId="12" xfId="0" applyNumberFormat="1" applyFont="1" applyBorder="1" applyAlignment="1">
      <alignment horizontal="center" vertical="center"/>
    </xf>
    <xf numFmtId="2" fontId="20" fillId="13" borderId="18" xfId="0" applyNumberFormat="1" applyFont="1" applyFill="1" applyBorder="1" applyAlignment="1">
      <alignment horizontal="center" vertical="center"/>
    </xf>
    <xf numFmtId="2" fontId="20" fillId="0" borderId="20" xfId="0" applyNumberFormat="1" applyFont="1" applyBorder="1" applyAlignment="1">
      <alignment horizontal="center" vertical="center"/>
    </xf>
    <xf numFmtId="0" fontId="19" fillId="11" borderId="0" xfId="0" applyFont="1" applyFill="1" applyAlignment="1">
      <alignment horizontal="center" vertical="center"/>
    </xf>
    <xf numFmtId="0" fontId="3" fillId="3" borderId="1" xfId="0" applyFont="1" applyFill="1" applyBorder="1" applyAlignment="1">
      <alignment horizontal="center" vertical="center"/>
    </xf>
    <xf numFmtId="0" fontId="1" fillId="0" borderId="0" xfId="0" applyFont="1" applyAlignment="1">
      <alignment horizontal="center"/>
    </xf>
    <xf numFmtId="0" fontId="7" fillId="3" borderId="1" xfId="0" applyFont="1" applyFill="1" applyBorder="1" applyAlignment="1">
      <alignment horizontal="center" vertical="center"/>
    </xf>
    <xf numFmtId="0" fontId="9" fillId="0" borderId="0" xfId="0" applyFont="1"/>
    <xf numFmtId="0" fontId="19" fillId="0" borderId="0" xfId="0" applyFont="1" applyAlignment="1">
      <alignment vertical="center"/>
    </xf>
    <xf numFmtId="0" fontId="4" fillId="0" borderId="0" xfId="0" applyFont="1" applyAlignment="1">
      <alignment horizontal="right"/>
    </xf>
    <xf numFmtId="2" fontId="1" fillId="0" borderId="0" xfId="0" applyNumberFormat="1" applyFont="1" applyAlignment="1">
      <alignment horizontal="center"/>
    </xf>
    <xf numFmtId="0" fontId="4" fillId="14" borderId="1" xfId="0" applyFont="1" applyFill="1" applyBorder="1" applyAlignment="1">
      <alignment horizontal="center"/>
    </xf>
    <xf numFmtId="0" fontId="36" fillId="10" borderId="0" xfId="0" applyFont="1" applyFill="1"/>
    <xf numFmtId="0" fontId="35" fillId="10" borderId="0" xfId="0" applyFont="1" applyFill="1" applyAlignment="1">
      <alignment horizontal="right"/>
    </xf>
    <xf numFmtId="0" fontId="1" fillId="10" borderId="0" xfId="0" applyFont="1" applyFill="1"/>
    <xf numFmtId="0" fontId="12" fillId="10" borderId="0" xfId="0" applyFont="1" applyFill="1"/>
    <xf numFmtId="0" fontId="37" fillId="10" borderId="0" xfId="0" applyFont="1" applyFill="1"/>
    <xf numFmtId="0" fontId="36" fillId="0" borderId="0" xfId="0" applyFont="1"/>
    <xf numFmtId="0" fontId="22" fillId="0" borderId="0" xfId="0" applyFont="1" applyAlignment="1">
      <alignment horizontal="center"/>
    </xf>
    <xf numFmtId="0" fontId="38" fillId="0" borderId="0" xfId="0" applyFont="1"/>
    <xf numFmtId="0" fontId="22" fillId="16" borderId="0" xfId="0" applyFont="1" applyFill="1" applyAlignment="1">
      <alignment horizontal="center"/>
    </xf>
    <xf numFmtId="0" fontId="22" fillId="10" borderId="0" xfId="0" applyFont="1" applyFill="1"/>
    <xf numFmtId="2" fontId="1" fillId="17" borderId="1" xfId="0" applyNumberFormat="1" applyFont="1" applyFill="1" applyBorder="1" applyAlignment="1">
      <alignment horizontal="center"/>
    </xf>
    <xf numFmtId="0" fontId="33" fillId="0" borderId="0" xfId="0" applyFont="1"/>
    <xf numFmtId="2" fontId="0" fillId="0" borderId="0" xfId="0" applyNumberFormat="1" applyAlignment="1">
      <alignment horizontal="center"/>
    </xf>
    <xf numFmtId="2" fontId="0" fillId="9" borderId="1" xfId="0" applyNumberFormat="1" applyFill="1" applyBorder="1" applyAlignment="1">
      <alignment horizontal="center"/>
    </xf>
    <xf numFmtId="165" fontId="0" fillId="9" borderId="1" xfId="0" applyNumberFormat="1" applyFill="1" applyBorder="1" applyAlignment="1">
      <alignment horizontal="center"/>
    </xf>
    <xf numFmtId="0" fontId="0" fillId="11" borderId="7" xfId="0" applyFill="1" applyBorder="1" applyAlignment="1">
      <alignment horizontal="center"/>
    </xf>
    <xf numFmtId="0" fontId="19" fillId="11" borderId="7" xfId="0" applyFont="1" applyFill="1" applyBorder="1" applyAlignment="1">
      <alignment horizontal="center"/>
    </xf>
    <xf numFmtId="0" fontId="4" fillId="12" borderId="40" xfId="0" applyFont="1" applyFill="1" applyBorder="1" applyAlignment="1">
      <alignment horizontal="left" vertical="center" wrapText="1"/>
    </xf>
    <xf numFmtId="0" fontId="4" fillId="12" borderId="41" xfId="0" applyFont="1" applyFill="1" applyBorder="1" applyAlignment="1">
      <alignment horizontal="left" vertical="center" wrapText="1"/>
    </xf>
    <xf numFmtId="0" fontId="4" fillId="12" borderId="39" xfId="0" applyFont="1" applyFill="1" applyBorder="1" applyAlignment="1">
      <alignment wrapText="1"/>
    </xf>
    <xf numFmtId="2" fontId="1" fillId="12" borderId="39" xfId="0" applyNumberFormat="1" applyFont="1" applyFill="1" applyBorder="1" applyAlignment="1">
      <alignment horizontal="center" vertical="center"/>
    </xf>
    <xf numFmtId="2" fontId="13" fillId="12" borderId="39" xfId="0" applyNumberFormat="1" applyFont="1" applyFill="1" applyBorder="1" applyAlignment="1">
      <alignment horizontal="center" vertical="center" wrapText="1"/>
    </xf>
    <xf numFmtId="2" fontId="14" fillId="12" borderId="39" xfId="0" applyNumberFormat="1" applyFont="1" applyFill="1" applyBorder="1" applyAlignment="1">
      <alignment horizontal="center" vertical="center"/>
    </xf>
    <xf numFmtId="2" fontId="1" fillId="0" borderId="1" xfId="0" applyNumberFormat="1" applyFont="1" applyBorder="1" applyAlignment="1">
      <alignment horizontal="center"/>
    </xf>
    <xf numFmtId="0" fontId="42" fillId="0" borderId="0" xfId="0" applyFont="1"/>
    <xf numFmtId="2" fontId="19" fillId="15" borderId="1" xfId="0" applyNumberFormat="1" applyFont="1" applyFill="1" applyBorder="1" applyAlignment="1">
      <alignment horizontal="center"/>
    </xf>
    <xf numFmtId="2" fontId="0" fillId="10" borderId="1" xfId="0" applyNumberFormat="1" applyFill="1" applyBorder="1" applyAlignment="1">
      <alignment horizontal="center" vertical="center"/>
    </xf>
    <xf numFmtId="0" fontId="42" fillId="0" borderId="0" xfId="0" applyFont="1" applyAlignment="1">
      <alignment horizontal="center"/>
    </xf>
    <xf numFmtId="0" fontId="44" fillId="12" borderId="44" xfId="0" applyFont="1" applyFill="1" applyBorder="1" applyAlignment="1">
      <alignment horizontal="center"/>
    </xf>
    <xf numFmtId="0" fontId="44" fillId="12" borderId="0" xfId="0" applyFont="1" applyFill="1" applyAlignment="1">
      <alignment horizontal="center"/>
    </xf>
    <xf numFmtId="0" fontId="44" fillId="12" borderId="45" xfId="0" applyFont="1" applyFill="1" applyBorder="1" applyAlignment="1">
      <alignment horizontal="center"/>
    </xf>
    <xf numFmtId="2" fontId="44" fillId="12" borderId="44" xfId="0" applyNumberFormat="1" applyFont="1" applyFill="1" applyBorder="1" applyAlignment="1">
      <alignment horizontal="center"/>
    </xf>
    <xf numFmtId="2" fontId="44" fillId="12" borderId="0" xfId="0" applyNumberFormat="1" applyFont="1" applyFill="1" applyAlignment="1">
      <alignment horizontal="center"/>
    </xf>
    <xf numFmtId="2" fontId="44" fillId="12" borderId="45" xfId="0" applyNumberFormat="1" applyFont="1" applyFill="1" applyBorder="1" applyAlignment="1">
      <alignment horizontal="center"/>
    </xf>
    <xf numFmtId="2" fontId="44" fillId="12" borderId="46" xfId="0" applyNumberFormat="1" applyFont="1" applyFill="1" applyBorder="1" applyAlignment="1">
      <alignment horizontal="center"/>
    </xf>
    <xf numFmtId="2" fontId="44" fillId="12" borderId="33" xfId="0" applyNumberFormat="1" applyFont="1" applyFill="1" applyBorder="1" applyAlignment="1">
      <alignment horizontal="center"/>
    </xf>
    <xf numFmtId="2" fontId="44" fillId="12" borderId="47" xfId="0" applyNumberFormat="1" applyFont="1" applyFill="1" applyBorder="1" applyAlignment="1">
      <alignment horizontal="center"/>
    </xf>
    <xf numFmtId="0" fontId="45" fillId="0" borderId="0" xfId="0" applyFont="1" applyAlignment="1">
      <alignment vertical="center"/>
    </xf>
    <xf numFmtId="0" fontId="1" fillId="12" borderId="0" xfId="0" applyFont="1" applyFill="1"/>
    <xf numFmtId="0" fontId="43" fillId="12" borderId="49" xfId="0" applyFont="1" applyFill="1" applyBorder="1" applyAlignment="1">
      <alignment horizontal="center"/>
    </xf>
    <xf numFmtId="0" fontId="43" fillId="12" borderId="50" xfId="0" applyFont="1" applyFill="1" applyBorder="1" applyAlignment="1">
      <alignment horizontal="center"/>
    </xf>
    <xf numFmtId="0" fontId="44" fillId="12" borderId="46" xfId="0" applyFont="1" applyFill="1" applyBorder="1" applyAlignment="1">
      <alignment horizontal="center"/>
    </xf>
    <xf numFmtId="0" fontId="44" fillId="12" borderId="33" xfId="0" applyFont="1" applyFill="1" applyBorder="1" applyAlignment="1">
      <alignment horizontal="center"/>
    </xf>
    <xf numFmtId="0" fontId="44" fillId="12" borderId="47" xfId="0" applyFont="1" applyFill="1" applyBorder="1" applyAlignment="1">
      <alignment horizontal="center"/>
    </xf>
    <xf numFmtId="164" fontId="20" fillId="18" borderId="9" xfId="0" applyNumberFormat="1" applyFont="1" applyFill="1" applyBorder="1" applyAlignment="1">
      <alignment horizontal="center" vertical="center"/>
    </xf>
    <xf numFmtId="2" fontId="46" fillId="13" borderId="9" xfId="0" applyNumberFormat="1" applyFont="1" applyFill="1" applyBorder="1" applyAlignment="1">
      <alignment horizontal="center" vertical="center"/>
    </xf>
    <xf numFmtId="2" fontId="46" fillId="13" borderId="10" xfId="0" applyNumberFormat="1" applyFont="1" applyFill="1" applyBorder="1" applyAlignment="1">
      <alignment horizontal="center" vertical="center"/>
    </xf>
    <xf numFmtId="2" fontId="46" fillId="13" borderId="11" xfId="0" applyNumberFormat="1" applyFont="1" applyFill="1" applyBorder="1" applyAlignment="1">
      <alignment horizontal="center"/>
    </xf>
    <xf numFmtId="2" fontId="46" fillId="0" borderId="12" xfId="0" applyNumberFormat="1" applyFont="1" applyBorder="1" applyAlignment="1">
      <alignment horizontal="center" vertical="center"/>
    </xf>
    <xf numFmtId="2" fontId="46" fillId="0" borderId="13" xfId="0" applyNumberFormat="1" applyFont="1" applyBorder="1" applyAlignment="1">
      <alignment horizontal="center" vertical="center"/>
    </xf>
    <xf numFmtId="2" fontId="46" fillId="0" borderId="14" xfId="0" applyNumberFormat="1" applyFont="1" applyBorder="1" applyAlignment="1">
      <alignment horizontal="center"/>
    </xf>
    <xf numFmtId="2" fontId="44" fillId="12" borderId="42" xfId="0" applyNumberFormat="1" applyFont="1" applyFill="1" applyBorder="1" applyAlignment="1">
      <alignment horizontal="center"/>
    </xf>
    <xf numFmtId="2" fontId="44" fillId="12" borderId="32" xfId="0" applyNumberFormat="1" applyFont="1" applyFill="1" applyBorder="1" applyAlignment="1">
      <alignment horizontal="center"/>
    </xf>
    <xf numFmtId="2" fontId="44" fillId="12" borderId="43" xfId="0" applyNumberFormat="1" applyFont="1" applyFill="1" applyBorder="1" applyAlignment="1">
      <alignment horizontal="center"/>
    </xf>
    <xf numFmtId="2" fontId="1" fillId="12" borderId="40" xfId="0" applyNumberFormat="1" applyFont="1" applyFill="1" applyBorder="1" applyAlignment="1">
      <alignment horizontal="center" vertical="center"/>
    </xf>
    <xf numFmtId="0" fontId="19" fillId="11" borderId="37" xfId="0" applyFont="1" applyFill="1" applyBorder="1" applyAlignment="1">
      <alignment horizontal="center"/>
    </xf>
    <xf numFmtId="2" fontId="1" fillId="0" borderId="51" xfId="0" applyNumberFormat="1" applyFont="1" applyBorder="1" applyAlignment="1">
      <alignment horizontal="center"/>
    </xf>
    <xf numFmtId="2" fontId="1" fillId="0" borderId="0" xfId="0" applyNumberFormat="1" applyFont="1" applyAlignment="1">
      <alignment horizontal="center" vertical="center"/>
    </xf>
    <xf numFmtId="2" fontId="14" fillId="0" borderId="0" xfId="0" applyNumberFormat="1" applyFont="1" applyAlignment="1">
      <alignment horizontal="center" vertical="center"/>
    </xf>
    <xf numFmtId="0" fontId="19" fillId="0" borderId="0" xfId="0" applyFont="1" applyAlignment="1">
      <alignment horizontal="center"/>
    </xf>
    <xf numFmtId="0" fontId="43" fillId="12" borderId="44" xfId="0" applyFont="1" applyFill="1" applyBorder="1" applyAlignment="1">
      <alignment horizontal="center"/>
    </xf>
    <xf numFmtId="0" fontId="43" fillId="12" borderId="46" xfId="0" applyFont="1" applyFill="1" applyBorder="1" applyAlignment="1">
      <alignment horizontal="center"/>
    </xf>
    <xf numFmtId="10" fontId="20" fillId="0" borderId="46" xfId="0" applyNumberFormat="1" applyFont="1" applyBorder="1" applyAlignment="1">
      <alignment horizontal="center"/>
    </xf>
    <xf numFmtId="10" fontId="20" fillId="0" borderId="33" xfId="0" applyNumberFormat="1" applyFont="1" applyBorder="1" applyAlignment="1">
      <alignment horizontal="center"/>
    </xf>
    <xf numFmtId="10" fontId="20" fillId="0" borderId="33" xfId="0" applyNumberFormat="1" applyFont="1" applyBorder="1" applyAlignment="1">
      <alignment horizontal="center" vertical="center"/>
    </xf>
    <xf numFmtId="10" fontId="20" fillId="0" borderId="47" xfId="0" applyNumberFormat="1" applyFont="1" applyBorder="1" applyAlignment="1">
      <alignment horizontal="center"/>
    </xf>
    <xf numFmtId="0" fontId="19" fillId="0" borderId="33" xfId="0" applyFont="1" applyBorder="1" applyAlignment="1">
      <alignment horizontal="center" vertical="center"/>
    </xf>
    <xf numFmtId="0" fontId="19" fillId="13" borderId="52" xfId="0" applyFont="1" applyFill="1" applyBorder="1" applyAlignment="1">
      <alignment horizontal="center" vertical="center"/>
    </xf>
    <xf numFmtId="10" fontId="20" fillId="13" borderId="52" xfId="0" applyNumberFormat="1" applyFont="1" applyFill="1" applyBorder="1" applyAlignment="1">
      <alignment horizontal="center"/>
    </xf>
    <xf numFmtId="10" fontId="20" fillId="13" borderId="53" xfId="0" applyNumberFormat="1" applyFont="1" applyFill="1" applyBorder="1" applyAlignment="1">
      <alignment horizontal="center"/>
    </xf>
    <xf numFmtId="10" fontId="20" fillId="13" borderId="54" xfId="0" applyNumberFormat="1" applyFont="1" applyFill="1" applyBorder="1" applyAlignment="1">
      <alignment horizontal="center"/>
    </xf>
    <xf numFmtId="10" fontId="20" fillId="13" borderId="54" xfId="0" applyNumberFormat="1" applyFont="1" applyFill="1" applyBorder="1" applyAlignment="1">
      <alignment horizontal="center" vertical="center"/>
    </xf>
    <xf numFmtId="0" fontId="48" fillId="19" borderId="1" xfId="0" applyFont="1" applyFill="1" applyBorder="1" applyAlignment="1">
      <alignment horizontal="center" vertical="center"/>
    </xf>
    <xf numFmtId="0" fontId="19" fillId="11" borderId="42" xfId="0" applyFont="1" applyFill="1" applyBorder="1" applyAlignment="1">
      <alignment horizontal="center" vertical="center"/>
    </xf>
    <xf numFmtId="0" fontId="44" fillId="11" borderId="32" xfId="0" applyFont="1" applyFill="1" applyBorder="1" applyAlignment="1">
      <alignment horizontal="center" vertical="center"/>
    </xf>
    <xf numFmtId="0" fontId="20" fillId="11" borderId="43" xfId="0" applyFont="1" applyFill="1" applyBorder="1" applyAlignment="1">
      <alignment horizontal="center" vertical="center"/>
    </xf>
    <xf numFmtId="0" fontId="19" fillId="11" borderId="44" xfId="0" applyFont="1" applyFill="1" applyBorder="1" applyAlignment="1">
      <alignment horizontal="center" vertical="center"/>
    </xf>
    <xf numFmtId="0" fontId="19" fillId="11" borderId="45" xfId="0" applyFont="1" applyFill="1" applyBorder="1" applyAlignment="1">
      <alignment horizontal="center" vertical="center"/>
    </xf>
    <xf numFmtId="2" fontId="44" fillId="11" borderId="0" xfId="0" applyNumberFormat="1" applyFont="1" applyFill="1" applyAlignment="1">
      <alignment horizontal="center" vertical="center"/>
    </xf>
    <xf numFmtId="2" fontId="44" fillId="11" borderId="45" xfId="0" applyNumberFormat="1" applyFont="1" applyFill="1" applyBorder="1" applyAlignment="1">
      <alignment horizontal="center" vertical="center"/>
    </xf>
    <xf numFmtId="0" fontId="19" fillId="11" borderId="46" xfId="0" applyFont="1" applyFill="1" applyBorder="1" applyAlignment="1">
      <alignment horizontal="center" vertical="center"/>
    </xf>
    <xf numFmtId="2" fontId="44" fillId="11" borderId="33" xfId="0" applyNumberFormat="1" applyFont="1" applyFill="1" applyBorder="1" applyAlignment="1">
      <alignment horizontal="center" vertical="center"/>
    </xf>
    <xf numFmtId="2" fontId="44" fillId="11" borderId="47" xfId="0" applyNumberFormat="1" applyFont="1" applyFill="1" applyBorder="1" applyAlignment="1">
      <alignment horizontal="center" vertical="center"/>
    </xf>
    <xf numFmtId="0" fontId="19" fillId="0" borderId="0" xfId="0" applyFont="1" applyAlignment="1">
      <alignment horizontal="center" vertical="center"/>
    </xf>
    <xf numFmtId="2" fontId="44" fillId="0" borderId="0" xfId="0" applyNumberFormat="1" applyFont="1" applyAlignment="1">
      <alignment horizontal="center" vertical="center"/>
    </xf>
    <xf numFmtId="0" fontId="21" fillId="12" borderId="44" xfId="0" applyFont="1" applyFill="1" applyBorder="1"/>
    <xf numFmtId="0" fontId="21" fillId="12" borderId="0" xfId="0" applyFont="1" applyFill="1"/>
    <xf numFmtId="164" fontId="21" fillId="12" borderId="0" xfId="0" applyNumberFormat="1" applyFont="1" applyFill="1"/>
    <xf numFmtId="0" fontId="20" fillId="12" borderId="0" xfId="0" applyFont="1" applyFill="1" applyAlignment="1">
      <alignment horizontal="center" vertical="center"/>
    </xf>
    <xf numFmtId="0" fontId="21" fillId="12" borderId="45" xfId="0" applyFont="1" applyFill="1" applyBorder="1" applyAlignment="1">
      <alignment horizontal="center"/>
    </xf>
    <xf numFmtId="0" fontId="44" fillId="0" borderId="0" xfId="0" applyFont="1"/>
    <xf numFmtId="0" fontId="43" fillId="0" borderId="0" xfId="0" applyFont="1"/>
    <xf numFmtId="0" fontId="49" fillId="0" borderId="0" xfId="0" applyFont="1"/>
    <xf numFmtId="0" fontId="50" fillId="0" borderId="0" xfId="0" applyFont="1"/>
    <xf numFmtId="0" fontId="0" fillId="12" borderId="0" xfId="0" applyFill="1"/>
    <xf numFmtId="0" fontId="20" fillId="12" borderId="0" xfId="0" applyFont="1" applyFill="1"/>
    <xf numFmtId="0" fontId="19" fillId="12" borderId="0" xfId="0" applyFont="1" applyFill="1"/>
    <xf numFmtId="0" fontId="36" fillId="12" borderId="0" xfId="0" applyFont="1" applyFill="1"/>
    <xf numFmtId="0" fontId="35" fillId="12" borderId="0" xfId="0" applyFont="1" applyFill="1" applyAlignment="1">
      <alignment horizontal="right"/>
    </xf>
    <xf numFmtId="0" fontId="22" fillId="12" borderId="0" xfId="0" applyFont="1" applyFill="1" applyAlignment="1">
      <alignment horizontal="center"/>
    </xf>
    <xf numFmtId="0" fontId="22" fillId="12" borderId="0" xfId="0" applyFont="1" applyFill="1"/>
    <xf numFmtId="0" fontId="37" fillId="12" borderId="0" xfId="0" applyFont="1" applyFill="1"/>
    <xf numFmtId="0" fontId="12" fillId="12" borderId="0" xfId="0" applyFont="1" applyFill="1"/>
    <xf numFmtId="0" fontId="51" fillId="11" borderId="0" xfId="0" applyFont="1" applyFill="1" applyAlignment="1">
      <alignment horizontal="center"/>
    </xf>
    <xf numFmtId="0" fontId="51" fillId="11" borderId="0" xfId="0" applyFont="1" applyFill="1" applyAlignment="1">
      <alignment horizontal="center" wrapText="1"/>
    </xf>
    <xf numFmtId="0" fontId="51" fillId="12" borderId="0" xfId="0" applyFont="1" applyFill="1" applyAlignment="1">
      <alignment horizontal="left"/>
    </xf>
    <xf numFmtId="0" fontId="51" fillId="11" borderId="0" xfId="0" applyFont="1" applyFill="1" applyAlignment="1">
      <alignment horizontal="left"/>
    </xf>
    <xf numFmtId="0" fontId="51" fillId="11" borderId="0" xfId="0" applyFont="1" applyFill="1" applyAlignment="1">
      <alignment horizontal="left" vertical="top"/>
    </xf>
    <xf numFmtId="0" fontId="40" fillId="12" borderId="0" xfId="0" applyFont="1" applyFill="1"/>
    <xf numFmtId="0" fontId="39" fillId="12" borderId="0" xfId="0" applyFont="1" applyFill="1"/>
    <xf numFmtId="0" fontId="52" fillId="20" borderId="1" xfId="0" applyFont="1" applyFill="1" applyBorder="1" applyAlignment="1">
      <alignment horizontal="center" vertical="center"/>
    </xf>
    <xf numFmtId="0" fontId="53" fillId="0" borderId="1" xfId="0" applyFont="1" applyBorder="1" applyAlignment="1">
      <alignment horizontal="left" vertical="center" wrapText="1" indent="1"/>
    </xf>
    <xf numFmtId="0" fontId="16" fillId="0" borderId="1" xfId="0" applyFont="1" applyBorder="1" applyAlignment="1">
      <alignment horizontal="left" vertical="center" wrapText="1" indent="1"/>
    </xf>
    <xf numFmtId="0" fontId="53" fillId="0" borderId="1" xfId="0" applyFont="1" applyBorder="1" applyAlignment="1">
      <alignment horizontal="left" vertical="center" indent="1"/>
    </xf>
    <xf numFmtId="0" fontId="21" fillId="0" borderId="0" xfId="0" applyFont="1" applyAlignment="1">
      <alignment wrapText="1"/>
    </xf>
    <xf numFmtId="2" fontId="0" fillId="21" borderId="2" xfId="0" applyNumberFormat="1" applyFill="1" applyBorder="1" applyAlignment="1">
      <alignment horizontal="center" vertical="center"/>
    </xf>
    <xf numFmtId="2" fontId="0" fillId="22" borderId="2" xfId="0" applyNumberFormat="1" applyFill="1" applyBorder="1" applyAlignment="1">
      <alignment horizontal="center" vertical="center"/>
    </xf>
    <xf numFmtId="2" fontId="0" fillId="23" borderId="2" xfId="0" applyNumberFormat="1" applyFill="1" applyBorder="1" applyAlignment="1">
      <alignment horizontal="center" vertical="center"/>
    </xf>
    <xf numFmtId="2" fontId="0" fillId="24" borderId="2" xfId="0" applyNumberFormat="1" applyFill="1" applyBorder="1" applyAlignment="1">
      <alignment horizontal="center" vertical="center"/>
    </xf>
    <xf numFmtId="2" fontId="0" fillId="8" borderId="2" xfId="0" applyNumberFormat="1" applyFill="1" applyBorder="1" applyAlignment="1">
      <alignment horizontal="center" vertical="center"/>
    </xf>
    <xf numFmtId="2" fontId="0" fillId="10" borderId="2" xfId="0" applyNumberFormat="1" applyFill="1" applyBorder="1" applyAlignment="1">
      <alignment horizontal="center" vertical="center"/>
    </xf>
    <xf numFmtId="0" fontId="58" fillId="0" borderId="0" xfId="0" applyFont="1"/>
    <xf numFmtId="2" fontId="0" fillId="14" borderId="2" xfId="0" applyNumberFormat="1" applyFill="1" applyBorder="1" applyAlignment="1">
      <alignment horizontal="center" vertical="center"/>
    </xf>
    <xf numFmtId="2" fontId="0" fillId="6" borderId="2" xfId="0" applyNumberFormat="1" applyFill="1" applyBorder="1" applyAlignment="1">
      <alignment horizontal="center" vertical="center"/>
    </xf>
    <xf numFmtId="2" fontId="0" fillId="13" borderId="2" xfId="0" applyNumberFormat="1" applyFill="1" applyBorder="1" applyAlignment="1">
      <alignment horizontal="center" vertical="center"/>
    </xf>
    <xf numFmtId="2" fontId="0" fillId="13" borderId="60" xfId="0" applyNumberFormat="1" applyFill="1" applyBorder="1" applyAlignment="1">
      <alignment horizontal="center" vertical="center"/>
    </xf>
    <xf numFmtId="2" fontId="0" fillId="25" borderId="2" xfId="0" applyNumberFormat="1" applyFill="1" applyBorder="1" applyAlignment="1">
      <alignment horizontal="center" vertical="center"/>
    </xf>
    <xf numFmtId="2" fontId="0" fillId="25" borderId="60" xfId="0" applyNumberFormat="1" applyFill="1" applyBorder="1" applyAlignment="1">
      <alignment horizontal="center" vertical="center"/>
    </xf>
    <xf numFmtId="2" fontId="0" fillId="26" borderId="2" xfId="0" applyNumberFormat="1" applyFill="1" applyBorder="1" applyAlignment="1">
      <alignment horizontal="center" vertical="center"/>
    </xf>
    <xf numFmtId="2" fontId="0" fillId="26" borderId="60" xfId="0" applyNumberFormat="1" applyFill="1" applyBorder="1" applyAlignment="1">
      <alignment horizontal="center" vertical="center"/>
    </xf>
    <xf numFmtId="2" fontId="0" fillId="21" borderId="60" xfId="0" applyNumberFormat="1" applyFill="1" applyBorder="1" applyAlignment="1">
      <alignment horizontal="center" vertical="center"/>
    </xf>
    <xf numFmtId="2" fontId="0" fillId="24" borderId="60" xfId="0" applyNumberFormat="1" applyFill="1" applyBorder="1" applyAlignment="1">
      <alignment horizontal="center" vertical="center"/>
    </xf>
    <xf numFmtId="2" fontId="0" fillId="8" borderId="60" xfId="0" applyNumberFormat="1" applyFill="1" applyBorder="1" applyAlignment="1">
      <alignment horizontal="center" vertical="center"/>
    </xf>
    <xf numFmtId="2" fontId="0" fillId="8" borderId="3" xfId="0" applyNumberFormat="1" applyFill="1" applyBorder="1" applyAlignment="1">
      <alignment horizontal="center" vertical="center"/>
    </xf>
    <xf numFmtId="2" fontId="0" fillId="27" borderId="2" xfId="0" applyNumberFormat="1" applyFill="1" applyBorder="1" applyAlignment="1">
      <alignment horizontal="center" vertical="center"/>
    </xf>
    <xf numFmtId="2" fontId="0" fillId="27" borderId="3" xfId="0" applyNumberFormat="1" applyFill="1" applyBorder="1" applyAlignment="1">
      <alignment horizontal="center" vertical="center"/>
    </xf>
    <xf numFmtId="2" fontId="0" fillId="27" borderId="60" xfId="0" applyNumberFormat="1" applyFill="1" applyBorder="1" applyAlignment="1">
      <alignment horizontal="center" vertical="center"/>
    </xf>
    <xf numFmtId="2" fontId="0" fillId="28" borderId="2" xfId="0" applyNumberFormat="1" applyFill="1" applyBorder="1" applyAlignment="1">
      <alignment horizontal="center" vertical="center"/>
    </xf>
    <xf numFmtId="2" fontId="0" fillId="28" borderId="60" xfId="0" applyNumberFormat="1" applyFill="1" applyBorder="1" applyAlignment="1">
      <alignment horizontal="center" vertical="center"/>
    </xf>
    <xf numFmtId="2" fontId="0" fillId="14" borderId="3" xfId="0" applyNumberFormat="1" applyFill="1" applyBorder="1" applyAlignment="1">
      <alignment horizontal="center" vertical="center"/>
    </xf>
    <xf numFmtId="2" fontId="0" fillId="14" borderId="60" xfId="0" applyNumberFormat="1" applyFill="1" applyBorder="1" applyAlignment="1">
      <alignment horizontal="center" vertical="center"/>
    </xf>
    <xf numFmtId="0" fontId="54" fillId="20" borderId="1" xfId="0" applyFont="1" applyFill="1" applyBorder="1" applyAlignment="1">
      <alignment horizontal="center" vertical="center" wrapText="1"/>
    </xf>
    <xf numFmtId="0" fontId="54" fillId="19" borderId="1" xfId="0" applyFont="1" applyFill="1" applyBorder="1" applyAlignment="1">
      <alignment horizontal="center" vertical="center" wrapText="1"/>
    </xf>
    <xf numFmtId="0" fontId="60" fillId="19" borderId="1" xfId="0" applyFont="1" applyFill="1" applyBorder="1" applyAlignment="1">
      <alignment horizontal="center" vertical="center"/>
    </xf>
    <xf numFmtId="0" fontId="14" fillId="20" borderId="1" xfId="0" applyFont="1" applyFill="1" applyBorder="1" applyAlignment="1">
      <alignment horizontal="center" vertical="center" wrapText="1"/>
    </xf>
    <xf numFmtId="0" fontId="45" fillId="19" borderId="1" xfId="0" applyFont="1" applyFill="1" applyBorder="1" applyAlignment="1">
      <alignment horizontal="center" vertical="center"/>
    </xf>
    <xf numFmtId="0" fontId="15" fillId="20" borderId="1" xfId="0" applyFont="1" applyFill="1" applyBorder="1" applyAlignment="1">
      <alignment horizontal="center" vertical="center"/>
    </xf>
    <xf numFmtId="0" fontId="4" fillId="0" borderId="2" xfId="0" applyFont="1" applyBorder="1" applyAlignment="1">
      <alignment horizontal="center" wrapText="1"/>
    </xf>
    <xf numFmtId="2" fontId="14" fillId="9" borderId="2" xfId="0" applyNumberFormat="1" applyFont="1" applyFill="1" applyBorder="1" applyAlignment="1">
      <alignment horizontal="center" vertical="center"/>
    </xf>
    <xf numFmtId="2" fontId="5" fillId="0" borderId="2" xfId="0" applyNumberFormat="1" applyFont="1" applyBorder="1" applyAlignment="1">
      <alignment horizontal="center" vertical="center" wrapText="1"/>
    </xf>
    <xf numFmtId="2" fontId="1" fillId="6" borderId="2" xfId="0" applyNumberFormat="1" applyFont="1" applyFill="1" applyBorder="1" applyAlignment="1">
      <alignment horizontal="center"/>
    </xf>
    <xf numFmtId="0" fontId="43" fillId="12" borderId="0" xfId="0" applyFont="1" applyFill="1" applyAlignment="1">
      <alignment horizontal="center"/>
    </xf>
    <xf numFmtId="2" fontId="14" fillId="6" borderId="2" xfId="0" applyNumberFormat="1" applyFont="1" applyFill="1" applyBorder="1" applyAlignment="1">
      <alignment horizontal="center" vertical="center"/>
    </xf>
    <xf numFmtId="2" fontId="14" fillId="9" borderId="15" xfId="0" applyNumberFormat="1" applyFont="1" applyFill="1" applyBorder="1" applyAlignment="1">
      <alignment horizontal="center" vertical="center"/>
    </xf>
    <xf numFmtId="2" fontId="14" fillId="8" borderId="2" xfId="0" applyNumberFormat="1" applyFont="1" applyFill="1" applyBorder="1" applyAlignment="1">
      <alignment horizontal="center" vertical="center"/>
    </xf>
    <xf numFmtId="0" fontId="61" fillId="12" borderId="0" xfId="0" applyFont="1" applyFill="1" applyAlignment="1">
      <alignment wrapText="1"/>
    </xf>
    <xf numFmtId="0" fontId="61" fillId="12" borderId="0" xfId="0" applyFont="1" applyFill="1"/>
    <xf numFmtId="0" fontId="19" fillId="24" borderId="0" xfId="0" applyFont="1" applyFill="1" applyAlignment="1">
      <alignment horizontal="center"/>
    </xf>
    <xf numFmtId="0" fontId="62" fillId="12" borderId="0" xfId="0" applyFont="1" applyFill="1"/>
    <xf numFmtId="0" fontId="63" fillId="12" borderId="0" xfId="0" quotePrefix="1" applyFont="1" applyFill="1" applyAlignment="1">
      <alignment horizontal="left"/>
    </xf>
    <xf numFmtId="0" fontId="16" fillId="24" borderId="0" xfId="0" applyFont="1" applyFill="1" applyAlignment="1">
      <alignment horizontal="center"/>
    </xf>
    <xf numFmtId="0" fontId="64" fillId="12" borderId="2" xfId="0" applyFont="1" applyFill="1" applyBorder="1" applyAlignment="1">
      <alignment horizontal="left" vertical="center" wrapText="1"/>
    </xf>
    <xf numFmtId="0" fontId="4" fillId="3" borderId="2" xfId="0" applyFont="1" applyFill="1" applyBorder="1" applyAlignment="1">
      <alignment horizontal="right" vertical="center" wrapText="1" indent="1"/>
    </xf>
    <xf numFmtId="0" fontId="1" fillId="0" borderId="2" xfId="0" applyFont="1" applyBorder="1" applyAlignment="1">
      <alignment horizontal="center" vertical="center" wrapText="1"/>
    </xf>
    <xf numFmtId="0" fontId="5" fillId="0" borderId="2" xfId="0" applyFont="1" applyBorder="1" applyAlignment="1">
      <alignment horizontal="left" vertical="center" wrapText="1" indent="2"/>
    </xf>
    <xf numFmtId="0" fontId="4" fillId="0" borderId="2" xfId="0" applyFont="1" applyBorder="1" applyAlignment="1">
      <alignment horizontal="left" vertical="center" wrapText="1" indent="1"/>
    </xf>
    <xf numFmtId="0" fontId="3" fillId="3" borderId="15" xfId="0" applyFont="1" applyFill="1" applyBorder="1" applyAlignment="1">
      <alignment horizontal="center" vertical="center"/>
    </xf>
    <xf numFmtId="0" fontId="4" fillId="3" borderId="15" xfId="0" applyFont="1" applyFill="1" applyBorder="1" applyAlignment="1">
      <alignment horizontal="right" vertical="center" wrapText="1" indent="1"/>
    </xf>
    <xf numFmtId="0" fontId="1" fillId="0" borderId="15" xfId="0" applyFont="1" applyBorder="1" applyAlignment="1">
      <alignment horizontal="center" vertical="center" wrapText="1"/>
    </xf>
    <xf numFmtId="0" fontId="5" fillId="0" borderId="1" xfId="0" applyFont="1" applyBorder="1" applyAlignment="1">
      <alignment horizontal="center" vertical="center" wrapText="1" indent="1"/>
    </xf>
    <xf numFmtId="0" fontId="19" fillId="12" borderId="0" xfId="0" applyFont="1" applyFill="1" applyAlignment="1">
      <alignment horizontal="left" vertical="top"/>
    </xf>
    <xf numFmtId="0" fontId="4" fillId="0" borderId="51" xfId="0" applyFont="1" applyBorder="1" applyAlignment="1">
      <alignment horizontal="center" vertical="center" wrapText="1" indent="1"/>
    </xf>
    <xf numFmtId="0" fontId="4" fillId="0" borderId="23" xfId="0" applyFont="1" applyBorder="1" applyAlignment="1">
      <alignment horizontal="center" vertical="center" wrapText="1" indent="1"/>
    </xf>
    <xf numFmtId="0" fontId="53" fillId="0" borderId="51" xfId="0" applyFont="1" applyBorder="1" applyAlignment="1">
      <alignment horizontal="center" vertical="center" wrapText="1" indent="1"/>
    </xf>
    <xf numFmtId="0" fontId="53" fillId="0" borderId="23" xfId="0" applyFont="1" applyBorder="1" applyAlignment="1">
      <alignment horizontal="center" vertical="center" wrapText="1" indent="1"/>
    </xf>
    <xf numFmtId="0" fontId="54" fillId="11" borderId="51" xfId="0" applyFont="1" applyFill="1" applyBorder="1" applyAlignment="1">
      <alignment horizontal="center" vertical="center" wrapText="1" indent="1"/>
    </xf>
    <xf numFmtId="0" fontId="54" fillId="11" borderId="23" xfId="0" applyFont="1" applyFill="1" applyBorder="1" applyAlignment="1">
      <alignment horizontal="center" vertical="center" wrapText="1" indent="1"/>
    </xf>
    <xf numFmtId="0" fontId="16" fillId="11" borderId="51" xfId="0" applyFont="1" applyFill="1" applyBorder="1" applyAlignment="1">
      <alignment horizontal="center" vertical="center" wrapText="1" indent="1"/>
    </xf>
    <xf numFmtId="0" fontId="16" fillId="11" borderId="23" xfId="0" applyFont="1" applyFill="1" applyBorder="1" applyAlignment="1">
      <alignment horizontal="center" vertical="center" wrapText="1" indent="1"/>
    </xf>
    <xf numFmtId="0" fontId="16" fillId="0" borderId="51" xfId="0" applyFont="1" applyBorder="1" applyAlignment="1">
      <alignment horizontal="center" vertical="center" wrapText="1" indent="1"/>
    </xf>
    <xf numFmtId="0" fontId="16" fillId="0" borderId="23" xfId="0" applyFont="1" applyBorder="1" applyAlignment="1">
      <alignment horizontal="center" vertical="center" wrapText="1" indent="1"/>
    </xf>
    <xf numFmtId="0" fontId="3" fillId="3"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63" xfId="0" applyFont="1" applyFill="1" applyBorder="1" applyAlignment="1">
      <alignment horizontal="center" vertical="center"/>
    </xf>
    <xf numFmtId="0" fontId="3" fillId="3" borderId="35" xfId="0" applyFont="1" applyFill="1" applyBorder="1" applyAlignment="1">
      <alignment horizontal="center" vertical="center"/>
    </xf>
    <xf numFmtId="0" fontId="3" fillId="3" borderId="15"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53" fillId="11" borderId="51" xfId="0" applyFont="1" applyFill="1" applyBorder="1" applyAlignment="1">
      <alignment horizontal="center" vertical="center" wrapText="1" indent="1"/>
    </xf>
    <xf numFmtId="0" fontId="53" fillId="11" borderId="23" xfId="0" applyFont="1" applyFill="1" applyBorder="1" applyAlignment="1">
      <alignment horizontal="center" vertical="center" wrapText="1" indent="1"/>
    </xf>
    <xf numFmtId="0" fontId="7" fillId="3" borderId="1" xfId="0" applyFont="1" applyFill="1" applyBorder="1" applyAlignment="1">
      <alignment horizontal="center" vertical="center" wrapText="1"/>
    </xf>
    <xf numFmtId="0" fontId="3" fillId="3" borderId="0" xfId="0" applyFont="1" applyFill="1" applyAlignment="1">
      <alignment horizontal="center" vertical="center" wrapText="1"/>
    </xf>
    <xf numFmtId="0" fontId="53" fillId="0" borderId="2" xfId="0" applyFont="1" applyBorder="1" applyAlignment="1">
      <alignment horizontal="center" vertical="center" wrapText="1" indent="1"/>
    </xf>
    <xf numFmtId="0" fontId="4" fillId="0" borderId="2" xfId="0" applyFont="1" applyBorder="1" applyAlignment="1">
      <alignment horizontal="center" vertical="center" wrapText="1" indent="1"/>
    </xf>
    <xf numFmtId="0" fontId="4" fillId="0" borderId="64" xfId="0" applyFont="1" applyBorder="1" applyAlignment="1">
      <alignment horizontal="center" vertical="center" wrapText="1" indent="1"/>
    </xf>
    <xf numFmtId="0" fontId="4" fillId="0" borderId="63" xfId="0" applyFont="1" applyBorder="1" applyAlignment="1">
      <alignment horizontal="center" vertical="center" wrapText="1" indent="1"/>
    </xf>
    <xf numFmtId="0" fontId="3" fillId="3" borderId="7" xfId="0" applyFont="1" applyFill="1" applyBorder="1" applyAlignment="1">
      <alignment horizontal="center" vertical="center" wrapText="1"/>
    </xf>
    <xf numFmtId="0" fontId="4" fillId="14" borderId="1" xfId="0" applyFont="1" applyFill="1" applyBorder="1" applyAlignment="1">
      <alignment horizontal="right"/>
    </xf>
    <xf numFmtId="2" fontId="1" fillId="6" borderId="1" xfId="0" applyNumberFormat="1" applyFont="1" applyFill="1" applyBorder="1" applyAlignment="1">
      <alignment horizontal="center" vertical="center"/>
    </xf>
    <xf numFmtId="2" fontId="1" fillId="10" borderId="1" xfId="0" applyNumberFormat="1" applyFont="1" applyFill="1" applyBorder="1" applyAlignment="1">
      <alignment horizontal="center" vertical="center"/>
    </xf>
    <xf numFmtId="2" fontId="14" fillId="8" borderId="1" xfId="0" applyNumberFormat="1" applyFont="1" applyFill="1" applyBorder="1" applyAlignment="1">
      <alignment horizontal="center" vertical="center"/>
    </xf>
    <xf numFmtId="2" fontId="1" fillId="8" borderId="1" xfId="0" applyNumberFormat="1" applyFont="1" applyFill="1" applyBorder="1" applyAlignment="1">
      <alignment horizontal="center"/>
    </xf>
    <xf numFmtId="2" fontId="13" fillId="0" borderId="1" xfId="0" applyNumberFormat="1" applyFont="1" applyBorder="1" applyAlignment="1">
      <alignment horizontal="center" vertical="center" wrapText="1"/>
    </xf>
    <xf numFmtId="2" fontId="14" fillId="6" borderId="1" xfId="0" applyNumberFormat="1" applyFont="1" applyFill="1" applyBorder="1" applyAlignment="1">
      <alignment horizontal="center" vertical="center"/>
    </xf>
    <xf numFmtId="0" fontId="11" fillId="4" borderId="0" xfId="0" applyFont="1" applyFill="1" applyAlignment="1">
      <alignment horizontal="center" vertical="center"/>
    </xf>
    <xf numFmtId="0" fontId="4" fillId="0" borderId="1" xfId="0" applyFont="1" applyBorder="1" applyAlignment="1">
      <alignment horizontal="right"/>
    </xf>
    <xf numFmtId="0" fontId="12" fillId="0" borderId="0" xfId="0" applyFont="1" applyAlignment="1"/>
    <xf numFmtId="0" fontId="1" fillId="0" borderId="1" xfId="0" applyFont="1" applyBorder="1" applyAlignment="1">
      <alignment wrapText="1"/>
    </xf>
    <xf numFmtId="0" fontId="4" fillId="0" borderId="1" xfId="0" applyFont="1" applyBorder="1" applyAlignment="1">
      <alignment horizontal="right" wrapText="1"/>
    </xf>
    <xf numFmtId="0" fontId="12" fillId="0" borderId="0" xfId="0" applyFont="1" applyAlignment="1">
      <alignment wrapText="1"/>
    </xf>
    <xf numFmtId="0" fontId="36" fillId="0" borderId="0" xfId="0" applyFont="1" applyAlignment="1">
      <alignment horizontal="left"/>
    </xf>
    <xf numFmtId="0" fontId="4" fillId="0" borderId="1" xfId="0" applyFont="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2" fontId="9" fillId="10" borderId="1" xfId="0" applyNumberFormat="1" applyFont="1" applyFill="1" applyBorder="1" applyAlignment="1">
      <alignment horizontal="center" vertical="center"/>
    </xf>
    <xf numFmtId="2" fontId="1" fillId="9" borderId="1"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2" fontId="14" fillId="9" borderId="1" xfId="0" applyNumberFormat="1" applyFont="1" applyFill="1" applyBorder="1" applyAlignment="1">
      <alignment horizontal="center" vertical="center"/>
    </xf>
    <xf numFmtId="0" fontId="1" fillId="0" borderId="1" xfId="0" applyFont="1" applyBorder="1" applyAlignment="1">
      <alignment horizontal="center" vertical="center" wrapText="1"/>
    </xf>
    <xf numFmtId="0" fontId="41" fillId="0" borderId="36" xfId="0" applyFont="1" applyBorder="1" applyAlignment="1">
      <alignment horizontal="center" vertical="center"/>
    </xf>
    <xf numFmtId="0" fontId="41" fillId="0" borderId="35" xfId="0" applyFont="1" applyBorder="1" applyAlignment="1">
      <alignment horizontal="center" vertical="center"/>
    </xf>
    <xf numFmtId="0" fontId="41" fillId="0" borderId="37" xfId="0" applyFont="1" applyBorder="1" applyAlignment="1">
      <alignment horizontal="center" vertical="center"/>
    </xf>
    <xf numFmtId="0" fontId="41" fillId="0" borderId="38" xfId="0" applyFont="1" applyBorder="1" applyAlignment="1">
      <alignment horizontal="center" vertical="center"/>
    </xf>
    <xf numFmtId="0" fontId="4" fillId="0" borderId="1" xfId="0" applyFont="1" applyBorder="1" applyAlignment="1">
      <alignment horizontal="left" wrapText="1"/>
    </xf>
    <xf numFmtId="2" fontId="14" fillId="10" borderId="1" xfId="0" applyNumberFormat="1" applyFont="1" applyFill="1" applyBorder="1" applyAlignment="1">
      <alignment horizontal="center" vertical="center"/>
    </xf>
    <xf numFmtId="2" fontId="14" fillId="8" borderId="1" xfId="0" applyNumberFormat="1" applyFont="1" applyFill="1" applyBorder="1" applyAlignment="1">
      <alignment horizontal="center"/>
    </xf>
    <xf numFmtId="2" fontId="14" fillId="6" borderId="1" xfId="0" applyNumberFormat="1" applyFont="1" applyFill="1" applyBorder="1" applyAlignment="1">
      <alignment horizontal="center"/>
    </xf>
    <xf numFmtId="2" fontId="14" fillId="9" borderId="1" xfId="0" applyNumberFormat="1" applyFont="1" applyFill="1" applyBorder="1" applyAlignment="1">
      <alignment horizontal="center"/>
    </xf>
    <xf numFmtId="2" fontId="14" fillId="10" borderId="1" xfId="0" applyNumberFormat="1" applyFont="1" applyFill="1" applyBorder="1" applyAlignment="1">
      <alignment horizontal="center"/>
    </xf>
    <xf numFmtId="0" fontId="19" fillId="0" borderId="1" xfId="0" applyFont="1" applyBorder="1" applyAlignment="1">
      <alignment horizontal="center" vertical="center" wrapText="1"/>
    </xf>
    <xf numFmtId="2" fontId="5" fillId="0" borderId="1" xfId="0" applyNumberFormat="1" applyFont="1" applyBorder="1" applyAlignment="1">
      <alignment horizontal="center" vertical="center" wrapText="1"/>
    </xf>
    <xf numFmtId="0" fontId="1" fillId="0" borderId="51" xfId="0" applyFont="1" applyBorder="1" applyAlignment="1">
      <alignment wrapText="1"/>
    </xf>
    <xf numFmtId="0" fontId="1" fillId="0" borderId="23" xfId="0" applyFont="1" applyBorder="1" applyAlignment="1">
      <alignment wrapText="1"/>
    </xf>
    <xf numFmtId="0" fontId="47" fillId="0" borderId="0" xfId="0" applyFont="1" applyAlignment="1">
      <alignment wrapText="1"/>
    </xf>
    <xf numFmtId="2" fontId="14" fillId="10" borderId="15" xfId="0" applyNumberFormat="1" applyFont="1" applyFill="1" applyBorder="1" applyAlignment="1">
      <alignment horizontal="center" vertical="center"/>
    </xf>
    <xf numFmtId="0" fontId="1" fillId="0" borderId="2" xfId="0" applyFont="1" applyBorder="1" applyAlignment="1">
      <alignment wrapText="1"/>
    </xf>
    <xf numFmtId="0" fontId="15" fillId="0" borderId="2" xfId="0" applyFont="1" applyBorder="1" applyAlignment="1">
      <alignment horizontal="right" wrapText="1"/>
    </xf>
    <xf numFmtId="0" fontId="15" fillId="0" borderId="1" xfId="0" applyFont="1" applyBorder="1" applyAlignment="1">
      <alignment horizontal="center" vertical="center" wrapText="1"/>
    </xf>
    <xf numFmtId="0" fontId="15" fillId="0" borderId="1" xfId="0" applyFont="1" applyBorder="1" applyAlignment="1">
      <alignment horizontal="right" wrapText="1"/>
    </xf>
    <xf numFmtId="0" fontId="15" fillId="0" borderId="15" xfId="0" applyFont="1" applyBorder="1" applyAlignment="1">
      <alignment horizontal="right" wrapText="1"/>
    </xf>
    <xf numFmtId="2" fontId="59" fillId="0" borderId="1" xfId="0" applyNumberFormat="1" applyFont="1" applyBorder="1" applyAlignment="1">
      <alignment horizontal="center" vertical="center" wrapText="1"/>
    </xf>
    <xf numFmtId="0" fontId="16" fillId="0" borderId="1" xfId="0" applyFont="1" applyBorder="1" applyAlignment="1">
      <alignment horizontal="right" wrapText="1"/>
    </xf>
    <xf numFmtId="0" fontId="43" fillId="12" borderId="48" xfId="0" applyFont="1" applyFill="1" applyBorder="1" applyAlignment="1">
      <alignment horizontal="center" wrapText="1"/>
    </xf>
    <xf numFmtId="0" fontId="43" fillId="12" borderId="49" xfId="0" applyFont="1" applyFill="1" applyBorder="1" applyAlignment="1">
      <alignment horizontal="center" wrapText="1"/>
    </xf>
    <xf numFmtId="0" fontId="43" fillId="12" borderId="48" xfId="0" applyFont="1" applyFill="1" applyBorder="1" applyAlignment="1">
      <alignment horizontal="center" vertical="center"/>
    </xf>
    <xf numFmtId="0" fontId="43" fillId="12" borderId="50" xfId="0" applyFont="1" applyFill="1" applyBorder="1" applyAlignment="1">
      <alignment horizontal="center" vertical="center"/>
    </xf>
    <xf numFmtId="0" fontId="43" fillId="12" borderId="42" xfId="0" applyFont="1" applyFill="1" applyBorder="1" applyAlignment="1">
      <alignment horizontal="center"/>
    </xf>
    <xf numFmtId="0" fontId="43" fillId="12" borderId="32" xfId="0" applyFont="1" applyFill="1" applyBorder="1" applyAlignment="1">
      <alignment horizontal="center"/>
    </xf>
    <xf numFmtId="0" fontId="43" fillId="12" borderId="43" xfId="0" applyFont="1" applyFill="1" applyBorder="1" applyAlignment="1">
      <alignment horizontal="center"/>
    </xf>
    <xf numFmtId="0" fontId="19" fillId="11" borderId="18" xfId="0" applyFont="1" applyFill="1" applyBorder="1" applyAlignment="1">
      <alignment horizontal="center" vertical="center"/>
    </xf>
    <xf numFmtId="0" fontId="19" fillId="11" borderId="20" xfId="0" applyFont="1" applyFill="1" applyBorder="1" applyAlignment="1">
      <alignment horizontal="center" vertical="center"/>
    </xf>
    <xf numFmtId="0" fontId="19" fillId="11" borderId="9" xfId="0" applyFont="1" applyFill="1" applyBorder="1" applyAlignment="1">
      <alignment horizontal="center" vertical="center"/>
    </xf>
    <xf numFmtId="0" fontId="19" fillId="11" borderId="12" xfId="0" applyFont="1" applyFill="1" applyBorder="1" applyAlignment="1">
      <alignment horizontal="center" vertical="center"/>
    </xf>
    <xf numFmtId="0" fontId="19" fillId="11" borderId="22" xfId="0" applyFont="1" applyFill="1" applyBorder="1" applyAlignment="1">
      <alignment horizontal="center" vertical="center"/>
    </xf>
    <xf numFmtId="0" fontId="19" fillId="11" borderId="16" xfId="0" applyFont="1" applyFill="1" applyBorder="1" applyAlignment="1">
      <alignment horizontal="center" vertical="center"/>
    </xf>
    <xf numFmtId="0" fontId="19" fillId="11" borderId="17" xfId="0" applyFont="1" applyFill="1" applyBorder="1" applyAlignment="1">
      <alignment horizontal="center" vertical="center"/>
    </xf>
    <xf numFmtId="0" fontId="19" fillId="11" borderId="57" xfId="0" applyFont="1" applyFill="1" applyBorder="1" applyAlignment="1">
      <alignment horizontal="center" vertical="center"/>
    </xf>
    <xf numFmtId="0" fontId="19" fillId="11" borderId="7" xfId="0" applyFont="1" applyFill="1" applyBorder="1" applyAlignment="1">
      <alignment horizontal="center" vertical="center"/>
    </xf>
    <xf numFmtId="0" fontId="19" fillId="11" borderId="19" xfId="0" applyFont="1" applyFill="1" applyBorder="1" applyAlignment="1">
      <alignment horizontal="center" vertical="center"/>
    </xf>
    <xf numFmtId="0" fontId="19" fillId="0" borderId="48" xfId="0" applyFont="1" applyBorder="1" applyAlignment="1">
      <alignment horizontal="center" vertical="center"/>
    </xf>
    <xf numFmtId="0" fontId="19" fillId="0" borderId="50" xfId="0" applyFont="1" applyBorder="1" applyAlignment="1">
      <alignment horizontal="center" vertical="center"/>
    </xf>
    <xf numFmtId="0" fontId="19" fillId="11" borderId="0" xfId="0" applyFont="1" applyFill="1" applyAlignment="1">
      <alignment horizontal="center"/>
    </xf>
    <xf numFmtId="0" fontId="19" fillId="11" borderId="29" xfId="0" applyFont="1" applyFill="1" applyBorder="1" applyAlignment="1">
      <alignment horizontal="center" vertical="center"/>
    </xf>
    <xf numFmtId="0" fontId="19" fillId="11" borderId="30" xfId="0" applyFont="1" applyFill="1" applyBorder="1" applyAlignment="1">
      <alignment horizontal="center" vertical="center"/>
    </xf>
    <xf numFmtId="0" fontId="19" fillId="11" borderId="31" xfId="0" applyFont="1" applyFill="1" applyBorder="1" applyAlignment="1">
      <alignment horizontal="center" vertical="center"/>
    </xf>
    <xf numFmtId="0" fontId="19" fillId="11" borderId="56" xfId="0" applyFont="1" applyFill="1" applyBorder="1" applyAlignment="1">
      <alignment horizontal="center" vertical="center"/>
    </xf>
    <xf numFmtId="0" fontId="19" fillId="11" borderId="55" xfId="0" applyFont="1" applyFill="1" applyBorder="1" applyAlignment="1">
      <alignment horizontal="center" vertical="center"/>
    </xf>
    <xf numFmtId="0" fontId="19" fillId="11" borderId="27" xfId="0" applyFont="1" applyFill="1" applyBorder="1" applyAlignment="1">
      <alignment horizontal="center" vertical="center"/>
    </xf>
    <xf numFmtId="0" fontId="58" fillId="0" borderId="58" xfId="0" applyFont="1" applyBorder="1" applyAlignment="1">
      <alignment horizontal="center" vertical="center"/>
    </xf>
    <xf numFmtId="0" fontId="57" fillId="0" borderId="59" xfId="0" applyFont="1" applyBorder="1" applyAlignment="1">
      <alignment horizontal="center" vertical="center" wrapText="1"/>
    </xf>
    <xf numFmtId="0" fontId="57" fillId="0" borderId="62" xfId="0" applyFont="1" applyBorder="1" applyAlignment="1">
      <alignment horizontal="center" vertical="center" wrapText="1"/>
    </xf>
    <xf numFmtId="0" fontId="57" fillId="11" borderId="2" xfId="0" applyFont="1" applyFill="1" applyBorder="1" applyAlignment="1">
      <alignment horizontal="center" vertical="center" wrapText="1"/>
    </xf>
    <xf numFmtId="0" fontId="57" fillId="11" borderId="61" xfId="0" applyFont="1" applyFill="1" applyBorder="1" applyAlignment="1">
      <alignment horizontal="center" vertical="center" wrapText="1"/>
    </xf>
    <xf numFmtId="0" fontId="58" fillId="0" borderId="58" xfId="0" applyFont="1" applyBorder="1" applyAlignment="1">
      <alignment horizontal="center"/>
    </xf>
    <xf numFmtId="0" fontId="57" fillId="0" borderId="2" xfId="0" applyFont="1" applyBorder="1" applyAlignment="1">
      <alignment horizontal="center" vertical="center" wrapText="1"/>
    </xf>
    <xf numFmtId="0" fontId="57" fillId="0" borderId="60" xfId="0" applyFont="1" applyBorder="1" applyAlignment="1">
      <alignment horizontal="center" vertical="center" wrapText="1"/>
    </xf>
    <xf numFmtId="0" fontId="58" fillId="0" borderId="0" xfId="0" applyFont="1" applyAlignment="1">
      <alignment horizontal="center"/>
    </xf>
    <xf numFmtId="0" fontId="4" fillId="0" borderId="59" xfId="0" applyFont="1" applyBorder="1" applyAlignment="1">
      <alignment horizontal="center" vertical="center" wrapText="1"/>
    </xf>
    <xf numFmtId="0" fontId="4" fillId="0" borderId="60" xfId="0" applyFont="1" applyBorder="1" applyAlignment="1">
      <alignment horizontal="center" vertical="center" wrapText="1"/>
    </xf>
    <xf numFmtId="0" fontId="4" fillId="0" borderId="2" xfId="0" applyFont="1" applyBorder="1" applyAlignment="1">
      <alignment horizontal="center" vertical="center" wrapText="1"/>
    </xf>
    <xf numFmtId="0" fontId="4" fillId="11" borderId="2" xfId="0" applyFont="1" applyFill="1" applyBorder="1" applyAlignment="1">
      <alignment horizontal="center" vertical="center" wrapText="1"/>
    </xf>
    <xf numFmtId="0" fontId="42" fillId="0" borderId="58" xfId="0" applyFont="1" applyBorder="1" applyAlignment="1">
      <alignment horizontal="center"/>
    </xf>
    <xf numFmtId="0" fontId="42" fillId="0" borderId="0" xfId="0" applyFont="1" applyAlignment="1">
      <alignment horizontal="center"/>
    </xf>
    <xf numFmtId="0" fontId="42" fillId="0" borderId="34" xfId="0" applyFont="1" applyBorder="1" applyAlignment="1">
      <alignment horizontal="center"/>
    </xf>
    <xf numFmtId="0" fontId="4" fillId="11" borderId="1" xfId="0" applyFont="1" applyFill="1" applyBorder="1" applyAlignment="1">
      <alignment horizontal="center" vertical="center" wrapText="1"/>
    </xf>
    <xf numFmtId="0" fontId="4" fillId="11" borderId="15"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5"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horizontal="center" vertical="center" wrapText="1"/>
    </xf>
    <xf numFmtId="0" fontId="51" fillId="11" borderId="0" xfId="0" applyFont="1" applyFill="1" applyAlignment="1">
      <alignment horizontal="left" vertical="center"/>
    </xf>
    <xf numFmtId="0" fontId="21" fillId="11" borderId="0" xfId="0" applyFont="1" applyFill="1" applyAlignment="1">
      <alignment horizontal="center"/>
    </xf>
    <xf numFmtId="0" fontId="20" fillId="11" borderId="0" xfId="0" applyFont="1" applyFill="1" applyAlignment="1">
      <alignment horizontal="center" vertical="center" wrapText="1"/>
    </xf>
    <xf numFmtId="17" fontId="51" fillId="11" borderId="0" xfId="0" applyNumberFormat="1" applyFont="1" applyFill="1" applyAlignment="1">
      <alignment horizontal="center"/>
    </xf>
    <xf numFmtId="0" fontId="0" fillId="12" borderId="0" xfId="0" applyFill="1" applyAlignment="1">
      <alignment horizontal="left" vertical="top" wrapText="1"/>
    </xf>
  </cellXfs>
  <cellStyles count="1">
    <cellStyle name="Normal" xfId="0" builtinId="0"/>
  </cellStyles>
  <dxfs count="0"/>
  <tableStyles count="1" defaultTableStyle="TableStyleMedium2" defaultPivotStyle="PivotStyleLight16">
    <tableStyle name="Invisible" pivot="0" table="0" count="0"/>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ABABA"/>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E7F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24</xdr:col>
      <xdr:colOff>190500</xdr:colOff>
      <xdr:row>45</xdr:row>
      <xdr:rowOff>0</xdr:rowOff>
    </xdr:to>
    <xdr:pic>
      <xdr:nvPicPr>
        <xdr:cNvPr id="3" name="Image 2">
          <a:extLst>
            <a:ext uri="{FF2B5EF4-FFF2-40B4-BE49-F238E27FC236}">
              <a16:creationId xmlns:a16="http://schemas.microsoft.com/office/drawing/2014/main" id="{66625AC0-E7C5-B480-945E-8925031CFB31}"/>
            </a:ext>
          </a:extLst>
        </xdr:cNvPr>
        <xdr:cNvPicPr>
          <a:picLocks noChangeAspect="1"/>
        </xdr:cNvPicPr>
      </xdr:nvPicPr>
      <xdr:blipFill>
        <a:blip xmlns:r="http://schemas.openxmlformats.org/officeDocument/2006/relationships" r:embed="rId1"/>
        <a:stretch>
          <a:fillRect/>
        </a:stretch>
      </xdr:blipFill>
      <xdr:spPr>
        <a:xfrm>
          <a:off x="123825" y="104775"/>
          <a:ext cx="14697075" cy="7181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23</xdr:col>
      <xdr:colOff>0</xdr:colOff>
      <xdr:row>18</xdr:row>
      <xdr:rowOff>266700</xdr:rowOff>
    </xdr:to>
    <xdr:pic>
      <xdr:nvPicPr>
        <xdr:cNvPr id="3" name="Image 2">
          <a:extLst>
            <a:ext uri="{FF2B5EF4-FFF2-40B4-BE49-F238E27FC236}">
              <a16:creationId xmlns:a16="http://schemas.microsoft.com/office/drawing/2014/main" id="{E9BC2B9D-9BD7-40D7-3D66-C274BB89F78F}"/>
            </a:ext>
          </a:extLst>
        </xdr:cNvPr>
        <xdr:cNvPicPr>
          <a:picLocks noChangeAspect="1"/>
        </xdr:cNvPicPr>
      </xdr:nvPicPr>
      <xdr:blipFill>
        <a:blip xmlns:r="http://schemas.openxmlformats.org/officeDocument/2006/relationships" r:embed="rId1"/>
        <a:stretch>
          <a:fillRect/>
        </a:stretch>
      </xdr:blipFill>
      <xdr:spPr>
        <a:xfrm>
          <a:off x="18488025" y="914400"/>
          <a:ext cx="13716000" cy="7867650"/>
        </a:xfrm>
        <a:prstGeom prst="rect">
          <a:avLst/>
        </a:prstGeom>
      </xdr:spPr>
    </xdr:pic>
    <xdr:clientData/>
  </xdr:twoCellAnchor>
</xdr:wsDr>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opLeftCell="A22" zoomScale="85" zoomScaleNormal="85" workbookViewId="0">
      <selection activeCell="F39" sqref="F39"/>
    </sheetView>
  </sheetViews>
  <sheetFormatPr baseColWidth="10" defaultColWidth="8.88671875" defaultRowHeight="13.2" x14ac:dyDescent="0.25"/>
  <cols>
    <col min="1" max="1" width="24.88671875" style="206" customWidth="1"/>
    <col min="2" max="2" width="13.88671875" style="206" customWidth="1"/>
    <col min="3" max="3" width="88.33203125" style="206" customWidth="1"/>
    <col min="4" max="4" width="5" style="206" customWidth="1"/>
    <col min="5" max="5" width="5.77734375" style="206" customWidth="1"/>
    <col min="6" max="6" width="8.88671875" style="206" customWidth="1"/>
    <col min="7" max="7" width="90.77734375" style="206" customWidth="1"/>
    <col min="8" max="16384" width="8.88671875" style="206"/>
  </cols>
  <sheetData>
    <row r="1" spans="1:13" ht="79.2" customHeight="1" x14ac:dyDescent="0.3">
      <c r="A1" s="404" t="s">
        <v>0</v>
      </c>
      <c r="B1" s="405"/>
      <c r="C1" s="406" t="s">
        <v>540</v>
      </c>
      <c r="G1" s="408" t="s">
        <v>541</v>
      </c>
    </row>
    <row r="2" spans="1:13" ht="23.4" x14ac:dyDescent="0.45">
      <c r="A2" s="218" t="s">
        <v>1</v>
      </c>
      <c r="B2" s="405"/>
      <c r="C2" s="407">
        <v>45505</v>
      </c>
      <c r="G2" s="408"/>
    </row>
    <row r="3" spans="1:13" ht="74.400000000000006" customHeight="1" x14ac:dyDescent="0.45">
      <c r="A3" s="219" t="s">
        <v>2</v>
      </c>
      <c r="B3" s="215"/>
      <c r="C3" s="216" t="s">
        <v>3</v>
      </c>
      <c r="D3" s="207"/>
      <c r="E3" s="207"/>
      <c r="F3" s="207"/>
      <c r="G3" s="408"/>
      <c r="H3" s="207"/>
      <c r="I3" s="207"/>
      <c r="J3" s="207"/>
      <c r="K3" s="207"/>
      <c r="L3" s="207"/>
      <c r="M3" s="207"/>
    </row>
    <row r="4" spans="1:13" ht="23.4" x14ac:dyDescent="0.45">
      <c r="A4" s="217" t="s">
        <v>4</v>
      </c>
      <c r="B4" s="207"/>
      <c r="C4" s="207"/>
      <c r="D4" s="207"/>
      <c r="E4" s="207"/>
      <c r="F4" s="207"/>
      <c r="G4" s="207"/>
      <c r="H4" s="207"/>
      <c r="I4" s="207"/>
      <c r="J4" s="207"/>
      <c r="K4" s="207"/>
      <c r="L4" s="207"/>
      <c r="M4" s="207"/>
    </row>
    <row r="5" spans="1:13" ht="15.6" x14ac:dyDescent="0.3">
      <c r="A5" s="207"/>
      <c r="B5" s="282" t="s">
        <v>5</v>
      </c>
      <c r="C5" s="282"/>
      <c r="D5" s="207"/>
      <c r="E5" s="207"/>
      <c r="F5" s="207"/>
      <c r="G5" s="207"/>
      <c r="H5" s="207"/>
      <c r="I5" s="207"/>
      <c r="J5" s="207"/>
      <c r="K5" s="207"/>
      <c r="L5" s="207"/>
      <c r="M5" s="207"/>
    </row>
    <row r="6" spans="1:13" ht="15.6" x14ac:dyDescent="0.3">
      <c r="A6" s="207"/>
      <c r="B6" s="207"/>
      <c r="C6" s="269" t="s">
        <v>6</v>
      </c>
      <c r="D6" s="207"/>
      <c r="E6" s="207"/>
      <c r="F6" s="207"/>
      <c r="G6" s="207"/>
      <c r="H6" s="207"/>
      <c r="I6" s="207"/>
      <c r="J6" s="207"/>
      <c r="K6" s="207"/>
      <c r="L6" s="207"/>
      <c r="M6" s="207"/>
    </row>
    <row r="7" spans="1:13" ht="31.2" x14ac:dyDescent="0.3">
      <c r="A7" s="207"/>
      <c r="B7" s="207"/>
      <c r="C7" s="267" t="s">
        <v>7</v>
      </c>
      <c r="D7" s="207"/>
      <c r="E7" s="207"/>
      <c r="F7" s="207"/>
      <c r="G7" s="207"/>
      <c r="H7" s="207"/>
      <c r="I7" s="207"/>
      <c r="J7" s="207"/>
      <c r="K7" s="207"/>
      <c r="L7" s="207"/>
      <c r="M7" s="207"/>
    </row>
    <row r="8" spans="1:13" ht="31.2" x14ac:dyDescent="0.3">
      <c r="A8" s="207"/>
      <c r="B8" s="207"/>
      <c r="C8" s="267" t="s">
        <v>8</v>
      </c>
      <c r="D8" s="207"/>
      <c r="E8" s="207"/>
      <c r="F8" s="207"/>
      <c r="G8" s="207"/>
      <c r="H8" s="207"/>
      <c r="I8" s="207"/>
      <c r="J8" s="207"/>
      <c r="K8" s="207"/>
      <c r="L8" s="207"/>
      <c r="M8" s="207"/>
    </row>
    <row r="9" spans="1:13" ht="15.6" x14ac:dyDescent="0.3">
      <c r="A9" s="207"/>
      <c r="B9" s="207"/>
      <c r="C9" s="207"/>
      <c r="D9" s="207"/>
      <c r="E9" s="207"/>
      <c r="F9" s="207"/>
      <c r="G9" s="207"/>
      <c r="H9" s="207"/>
      <c r="I9" s="207"/>
      <c r="J9" s="207"/>
      <c r="K9" s="207"/>
      <c r="L9" s="207"/>
      <c r="M9" s="207"/>
    </row>
    <row r="10" spans="1:13" ht="15.6" x14ac:dyDescent="0.3">
      <c r="A10" s="207"/>
      <c r="B10" s="282" t="s">
        <v>9</v>
      </c>
      <c r="C10" s="282"/>
      <c r="D10" s="207"/>
      <c r="E10" s="207"/>
      <c r="F10" s="207"/>
      <c r="G10" s="207"/>
      <c r="H10" s="207"/>
      <c r="I10" s="207"/>
      <c r="J10" s="207"/>
      <c r="K10" s="207"/>
      <c r="L10" s="207"/>
      <c r="M10" s="207"/>
    </row>
    <row r="11" spans="1:13" ht="15.6" x14ac:dyDescent="0.3">
      <c r="A11" s="207"/>
      <c r="B11" s="207"/>
      <c r="C11" s="269" t="s">
        <v>10</v>
      </c>
      <c r="D11" s="207"/>
      <c r="E11" s="207"/>
      <c r="F11" s="207"/>
      <c r="G11" s="207"/>
      <c r="H11" s="207"/>
      <c r="I11" s="207"/>
      <c r="J11" s="207"/>
      <c r="K11" s="207"/>
      <c r="L11" s="207"/>
      <c r="M11" s="207"/>
    </row>
    <row r="12" spans="1:13" ht="15.6" x14ac:dyDescent="0.3">
      <c r="A12" s="207"/>
      <c r="B12" s="207"/>
      <c r="C12" s="268" t="s">
        <v>11</v>
      </c>
      <c r="D12" s="207"/>
      <c r="E12" s="207"/>
      <c r="F12" s="207"/>
      <c r="G12" s="207"/>
      <c r="H12" s="207"/>
      <c r="I12" s="207"/>
      <c r="J12" s="207"/>
      <c r="K12" s="207"/>
      <c r="L12" s="207"/>
      <c r="M12" s="207"/>
    </row>
    <row r="13" spans="1:13" ht="15.6" x14ac:dyDescent="0.3">
      <c r="A13" s="207"/>
      <c r="B13" s="207"/>
      <c r="C13" s="268" t="s">
        <v>12</v>
      </c>
      <c r="D13" s="207"/>
      <c r="E13" s="207"/>
      <c r="F13" s="207"/>
      <c r="G13" s="207"/>
      <c r="H13" s="207"/>
      <c r="I13" s="207"/>
      <c r="J13" s="207"/>
      <c r="K13" s="207"/>
      <c r="L13" s="207"/>
      <c r="M13" s="207"/>
    </row>
    <row r="14" spans="1:13" ht="15.6" x14ac:dyDescent="0.3">
      <c r="A14" s="207"/>
      <c r="B14" s="207"/>
      <c r="C14" s="268" t="s">
        <v>13</v>
      </c>
      <c r="D14" s="207"/>
      <c r="E14" s="207"/>
      <c r="F14" s="207"/>
      <c r="G14" s="207"/>
      <c r="H14" s="207"/>
      <c r="I14" s="207"/>
      <c r="J14" s="207"/>
      <c r="K14" s="207"/>
      <c r="L14" s="207"/>
      <c r="M14" s="207"/>
    </row>
    <row r="15" spans="1:13" ht="15.6" x14ac:dyDescent="0.3">
      <c r="A15" s="207"/>
      <c r="B15" s="207"/>
      <c r="C15" s="268" t="s">
        <v>14</v>
      </c>
      <c r="D15" s="207"/>
      <c r="E15" s="207"/>
      <c r="F15" s="207"/>
      <c r="G15" s="207"/>
      <c r="H15" s="207"/>
      <c r="I15" s="207"/>
      <c r="J15" s="207"/>
      <c r="K15" s="207"/>
      <c r="L15" s="207"/>
      <c r="M15" s="207"/>
    </row>
    <row r="16" spans="1:13" ht="15.6" x14ac:dyDescent="0.3">
      <c r="A16" s="207"/>
      <c r="B16" s="207"/>
      <c r="C16" s="207"/>
      <c r="D16" s="207"/>
      <c r="E16" s="207"/>
      <c r="F16" s="207"/>
      <c r="G16" s="207"/>
      <c r="H16" s="207"/>
      <c r="I16" s="207"/>
      <c r="J16" s="207"/>
      <c r="K16" s="207"/>
      <c r="L16" s="207"/>
      <c r="M16" s="207"/>
    </row>
    <row r="17" spans="1:13" ht="15.6" x14ac:dyDescent="0.3">
      <c r="A17" s="207"/>
      <c r="B17" s="208" t="s">
        <v>15</v>
      </c>
      <c r="C17" s="207"/>
      <c r="D17" s="207"/>
      <c r="E17" s="207"/>
      <c r="F17" s="207"/>
      <c r="G17" s="207"/>
      <c r="H17" s="207"/>
      <c r="I17" s="207"/>
      <c r="J17" s="207"/>
      <c r="K17" s="207"/>
      <c r="L17" s="207"/>
      <c r="M17" s="207"/>
    </row>
    <row r="18" spans="1:13" ht="15.6" x14ac:dyDescent="0.3">
      <c r="A18" s="207"/>
      <c r="B18" s="208"/>
      <c r="C18" s="269" t="s">
        <v>16</v>
      </c>
      <c r="D18" s="207"/>
      <c r="E18" s="207"/>
      <c r="F18" s="207"/>
      <c r="G18" s="207"/>
      <c r="H18" s="207"/>
      <c r="I18" s="207"/>
      <c r="J18" s="207"/>
      <c r="K18" s="207"/>
      <c r="L18" s="207"/>
      <c r="M18" s="207"/>
    </row>
    <row r="19" spans="1:13" ht="15.6" x14ac:dyDescent="0.3">
      <c r="A19" s="207"/>
      <c r="B19" s="208"/>
      <c r="C19" s="268" t="s">
        <v>17</v>
      </c>
      <c r="D19" s="207"/>
      <c r="E19" s="207"/>
      <c r="F19" s="207"/>
      <c r="G19" s="207"/>
      <c r="H19" s="207"/>
      <c r="I19" s="207"/>
      <c r="J19" s="207"/>
      <c r="K19" s="207"/>
      <c r="L19" s="207"/>
      <c r="M19" s="207"/>
    </row>
    <row r="20" spans="1:13" ht="15.6" x14ac:dyDescent="0.3">
      <c r="A20" s="207"/>
      <c r="B20" s="208"/>
      <c r="C20" s="268" t="s">
        <v>18</v>
      </c>
      <c r="D20" s="207"/>
      <c r="E20" s="207"/>
      <c r="F20" s="207"/>
      <c r="G20" s="207"/>
      <c r="H20" s="207"/>
      <c r="I20" s="207"/>
      <c r="J20" s="207"/>
      <c r="K20" s="207"/>
      <c r="L20" s="207"/>
      <c r="M20" s="207"/>
    </row>
    <row r="21" spans="1:13" ht="15.6" x14ac:dyDescent="0.3">
      <c r="A21" s="207"/>
      <c r="B21" s="208"/>
      <c r="C21" s="268" t="s">
        <v>19</v>
      </c>
      <c r="D21" s="207"/>
      <c r="E21" s="207"/>
      <c r="F21" s="207"/>
      <c r="G21" s="207"/>
      <c r="H21" s="207"/>
      <c r="I21" s="207"/>
      <c r="J21" s="207"/>
      <c r="K21" s="207"/>
      <c r="L21" s="207"/>
      <c r="M21" s="207"/>
    </row>
    <row r="22" spans="1:13" ht="15.6" x14ac:dyDescent="0.3">
      <c r="A22" s="207"/>
      <c r="B22" s="208"/>
      <c r="C22" s="207"/>
      <c r="D22" s="207"/>
      <c r="E22" s="207"/>
      <c r="F22" s="207"/>
      <c r="G22" s="207"/>
      <c r="H22" s="207"/>
      <c r="I22" s="207"/>
      <c r="J22" s="207"/>
      <c r="K22" s="207"/>
      <c r="L22" s="207"/>
      <c r="M22" s="207"/>
    </row>
    <row r="23" spans="1:13" ht="15.6" x14ac:dyDescent="0.3">
      <c r="A23" s="207"/>
      <c r="B23" s="207"/>
      <c r="C23" s="207"/>
      <c r="D23" s="207"/>
      <c r="E23" s="207"/>
      <c r="F23" s="207"/>
      <c r="G23" s="207"/>
      <c r="H23" s="207"/>
      <c r="I23" s="207"/>
      <c r="J23" s="207"/>
      <c r="K23" s="207"/>
      <c r="L23" s="207"/>
      <c r="M23" s="207"/>
    </row>
    <row r="24" spans="1:13" ht="15.6" x14ac:dyDescent="0.3">
      <c r="A24" s="207"/>
      <c r="B24" s="208" t="s">
        <v>20</v>
      </c>
      <c r="C24" s="207"/>
      <c r="D24" s="207"/>
      <c r="E24" s="207"/>
      <c r="F24" s="207"/>
      <c r="G24" s="207"/>
      <c r="H24" s="207"/>
      <c r="I24" s="207"/>
      <c r="J24" s="207"/>
      <c r="K24" s="207"/>
      <c r="L24" s="207"/>
      <c r="M24" s="207"/>
    </row>
    <row r="25" spans="1:13" ht="15.6" x14ac:dyDescent="0.3">
      <c r="A25" s="207"/>
      <c r="B25" s="208"/>
      <c r="C25" s="272" t="s">
        <v>21</v>
      </c>
      <c r="D25" s="207"/>
      <c r="E25" s="207"/>
      <c r="F25" s="207"/>
      <c r="G25" s="207"/>
      <c r="H25" s="207"/>
      <c r="I25" s="207"/>
      <c r="J25" s="207"/>
      <c r="K25" s="207"/>
      <c r="L25" s="207"/>
      <c r="M25" s="207"/>
    </row>
    <row r="26" spans="1:13" ht="15.6" x14ac:dyDescent="0.3">
      <c r="A26" s="207"/>
      <c r="B26" s="208"/>
      <c r="C26" s="270" t="s">
        <v>22</v>
      </c>
      <c r="D26" s="207"/>
      <c r="E26" s="207"/>
      <c r="F26" s="207"/>
      <c r="G26" s="207"/>
      <c r="H26" s="207"/>
      <c r="I26" s="207"/>
      <c r="J26" s="207"/>
      <c r="K26" s="207"/>
      <c r="L26" s="207"/>
      <c r="M26" s="207"/>
    </row>
    <row r="27" spans="1:13" ht="15" customHeight="1" x14ac:dyDescent="0.3">
      <c r="A27" s="207"/>
      <c r="B27" s="207"/>
      <c r="C27" s="270" t="s">
        <v>23</v>
      </c>
      <c r="D27" s="207"/>
      <c r="E27" s="207"/>
      <c r="F27" s="207"/>
      <c r="G27" s="207"/>
      <c r="H27" s="207"/>
      <c r="I27" s="207"/>
      <c r="J27" s="207"/>
      <c r="K27" s="207"/>
      <c r="L27" s="207"/>
      <c r="M27" s="207"/>
    </row>
    <row r="28" spans="1:13" ht="15.6" x14ac:dyDescent="0.3">
      <c r="A28" s="207"/>
      <c r="B28" s="207"/>
      <c r="C28" s="271" t="s">
        <v>24</v>
      </c>
      <c r="D28" s="207"/>
      <c r="E28" s="207"/>
      <c r="F28" s="207"/>
      <c r="G28" s="207"/>
      <c r="H28" s="207"/>
      <c r="I28" s="207"/>
      <c r="J28" s="207"/>
      <c r="K28" s="207"/>
      <c r="L28" s="207"/>
      <c r="M28" s="207"/>
    </row>
    <row r="29" spans="1:13" ht="15.6" x14ac:dyDescent="0.3">
      <c r="A29" s="207"/>
      <c r="B29" s="207"/>
      <c r="C29" s="207"/>
      <c r="D29" s="207"/>
      <c r="E29" s="207"/>
      <c r="F29" s="207"/>
      <c r="G29" s="207"/>
      <c r="H29" s="207"/>
      <c r="I29" s="207"/>
      <c r="J29" s="207"/>
      <c r="K29" s="207"/>
      <c r="L29" s="207"/>
      <c r="M29" s="207"/>
    </row>
    <row r="30" spans="1:13" ht="15.6" x14ac:dyDescent="0.3">
      <c r="A30" s="207"/>
      <c r="B30" s="208" t="s">
        <v>25</v>
      </c>
      <c r="C30" s="207"/>
      <c r="D30" s="207"/>
      <c r="E30" s="207"/>
      <c r="F30" s="207"/>
      <c r="G30" s="207"/>
      <c r="H30" s="207"/>
      <c r="I30" s="207"/>
      <c r="J30" s="207"/>
      <c r="K30" s="207"/>
      <c r="L30" s="207"/>
      <c r="M30" s="207"/>
    </row>
    <row r="31" spans="1:13" ht="15.6" x14ac:dyDescent="0.3">
      <c r="A31" s="207"/>
      <c r="B31" s="207"/>
      <c r="C31" s="207" t="s">
        <v>26</v>
      </c>
      <c r="D31" s="207"/>
      <c r="E31" s="207"/>
      <c r="F31" s="207"/>
      <c r="G31" s="207"/>
      <c r="H31" s="207"/>
      <c r="I31" s="207"/>
      <c r="J31" s="207"/>
      <c r="K31" s="207"/>
      <c r="L31" s="207"/>
      <c r="M31" s="207"/>
    </row>
    <row r="34" spans="1:9" ht="21" x14ac:dyDescent="0.4">
      <c r="A34" s="213" t="s">
        <v>27</v>
      </c>
      <c r="B34" s="220"/>
      <c r="C34" s="221"/>
    </row>
    <row r="35" spans="1:9" ht="21" x14ac:dyDescent="0.4">
      <c r="A35" s="221"/>
      <c r="B35" s="209" t="s">
        <v>28</v>
      </c>
      <c r="C35" s="209"/>
      <c r="D35" s="209"/>
      <c r="E35" s="210"/>
      <c r="F35" s="211">
        <v>50</v>
      </c>
      <c r="G35" s="212" t="s">
        <v>29</v>
      </c>
      <c r="H35" s="212"/>
      <c r="I35" s="150"/>
    </row>
    <row r="36" spans="1:9" ht="21" x14ac:dyDescent="0.4">
      <c r="A36" s="221"/>
      <c r="B36" s="209" t="s">
        <v>30</v>
      </c>
      <c r="C36" s="209"/>
      <c r="D36" s="209"/>
      <c r="E36" s="210"/>
      <c r="F36" s="211" t="s">
        <v>31</v>
      </c>
      <c r="G36" s="150"/>
      <c r="H36" s="150"/>
      <c r="I36" s="150"/>
    </row>
    <row r="37" spans="1:9" ht="21" x14ac:dyDescent="0.4">
      <c r="A37" s="221"/>
      <c r="B37" s="213" t="s">
        <v>32</v>
      </c>
      <c r="C37" s="213"/>
      <c r="D37" s="213"/>
      <c r="E37" s="213"/>
      <c r="F37" s="211" t="s">
        <v>33</v>
      </c>
      <c r="G37" s="150"/>
      <c r="H37" s="150"/>
      <c r="I37" s="150"/>
    </row>
    <row r="38" spans="1:9" ht="21" x14ac:dyDescent="0.4">
      <c r="A38" s="221"/>
      <c r="B38" s="209" t="s">
        <v>34</v>
      </c>
      <c r="C38" s="209"/>
      <c r="D38" s="214"/>
      <c r="E38" s="214"/>
      <c r="F38" s="211">
        <v>55</v>
      </c>
      <c r="G38" s="150"/>
      <c r="H38" s="150"/>
      <c r="I38" s="150"/>
    </row>
    <row r="39" spans="1:9" ht="21" x14ac:dyDescent="0.4">
      <c r="A39" s="221"/>
      <c r="B39" s="209" t="s">
        <v>35</v>
      </c>
      <c r="C39" s="209"/>
      <c r="D39" s="150"/>
      <c r="E39" s="150"/>
      <c r="F39" s="211">
        <v>150</v>
      </c>
      <c r="G39" s="150"/>
      <c r="H39" s="150"/>
      <c r="I39" s="150"/>
    </row>
  </sheetData>
  <mergeCells count="3">
    <mergeCell ref="B10:C10"/>
    <mergeCell ref="B5:C5"/>
    <mergeCell ref="G1:G3"/>
  </mergeCell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RESULTS_AGE!$N$15:$N$16</xm:f>
          </x14:formula1>
          <xm:sqref>F37</xm:sqref>
        </x14:dataValidation>
        <x14:dataValidation type="list" allowBlank="1" showInputMessage="1" showErrorMessage="1">
          <x14:formula1>
            <xm:f>RESULTS_AGE!$M$15:$M$16</xm:f>
          </x14:formula1>
          <xm:sqref>F36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140"/>
  <sheetViews>
    <sheetView topLeftCell="A101" zoomScale="70" zoomScaleNormal="70" workbookViewId="0">
      <selection activeCell="B108" sqref="B108"/>
    </sheetView>
  </sheetViews>
  <sheetFormatPr baseColWidth="10" defaultColWidth="11.44140625" defaultRowHeight="15.6" x14ac:dyDescent="0.25"/>
  <cols>
    <col min="1" max="1" width="24.44140625" style="3" bestFit="1" customWidth="1"/>
    <col min="2" max="2" width="25.44140625" style="2" bestFit="1" customWidth="1"/>
    <col min="3" max="3" width="75.44140625" style="1" customWidth="1"/>
    <col min="4" max="4" width="75.33203125" style="1" customWidth="1"/>
    <col min="5" max="5" width="26.33203125" style="3" bestFit="1" customWidth="1"/>
    <col min="6" max="1022" width="11.44140625" style="1"/>
  </cols>
  <sheetData>
    <row r="1" spans="1:5" ht="18" x14ac:dyDescent="0.25">
      <c r="A1" s="4" t="s">
        <v>36</v>
      </c>
      <c r="B1" s="4" t="s">
        <v>37</v>
      </c>
      <c r="C1" s="5" t="s">
        <v>38</v>
      </c>
      <c r="D1" s="4" t="s">
        <v>39</v>
      </c>
      <c r="E1" s="5" t="s">
        <v>40</v>
      </c>
    </row>
    <row r="2" spans="1:5" ht="102.75" customHeight="1" x14ac:dyDescent="0.25">
      <c r="A2" s="222" t="s">
        <v>41</v>
      </c>
      <c r="B2" s="258" t="s">
        <v>42</v>
      </c>
      <c r="C2" s="253" t="s">
        <v>43</v>
      </c>
      <c r="D2" s="253" t="s">
        <v>44</v>
      </c>
      <c r="E2" s="256" t="s">
        <v>45</v>
      </c>
    </row>
    <row r="3" spans="1:5" ht="46.8" x14ac:dyDescent="0.25">
      <c r="A3" s="184" t="s">
        <v>46</v>
      </c>
      <c r="B3" s="255" t="s">
        <v>47</v>
      </c>
      <c r="C3" s="254" t="s">
        <v>48</v>
      </c>
      <c r="D3" s="254" t="s">
        <v>49</v>
      </c>
      <c r="E3" s="257" t="s">
        <v>45</v>
      </c>
    </row>
    <row r="4" spans="1:5" ht="25.35" customHeight="1" x14ac:dyDescent="0.3">
      <c r="A4" s="298" t="s">
        <v>50</v>
      </c>
      <c r="B4" s="12" t="s">
        <v>51</v>
      </c>
      <c r="C4" s="291" t="s">
        <v>52</v>
      </c>
      <c r="D4" s="292"/>
      <c r="E4" s="11" t="s">
        <v>53</v>
      </c>
    </row>
    <row r="5" spans="1:5" ht="27.75" customHeight="1" x14ac:dyDescent="0.3">
      <c r="A5" s="299"/>
      <c r="B5" s="12" t="s">
        <v>54</v>
      </c>
      <c r="C5" s="281" t="s">
        <v>55</v>
      </c>
      <c r="D5" s="224" t="s">
        <v>56</v>
      </c>
      <c r="E5" s="11" t="s">
        <v>53</v>
      </c>
    </row>
    <row r="6" spans="1:5" ht="27.75" customHeight="1" x14ac:dyDescent="0.3">
      <c r="A6" s="299"/>
      <c r="B6" s="6" t="s">
        <v>57</v>
      </c>
      <c r="C6" s="281" t="s">
        <v>55</v>
      </c>
      <c r="D6" s="8" t="s">
        <v>58</v>
      </c>
      <c r="E6" s="11" t="s">
        <v>53</v>
      </c>
    </row>
    <row r="7" spans="1:5" ht="47.25" customHeight="1" x14ac:dyDescent="0.25">
      <c r="A7" s="299"/>
      <c r="B7" s="12" t="s">
        <v>59</v>
      </c>
      <c r="C7" s="291" t="s">
        <v>60</v>
      </c>
      <c r="D7" s="292"/>
      <c r="E7" s="9" t="s">
        <v>61</v>
      </c>
    </row>
    <row r="8" spans="1:5" ht="31.5" customHeight="1" x14ac:dyDescent="0.25">
      <c r="A8" s="299"/>
      <c r="B8" s="6" t="s">
        <v>62</v>
      </c>
      <c r="C8" s="283" t="s">
        <v>63</v>
      </c>
      <c r="D8" s="284"/>
      <c r="E8" s="9" t="s">
        <v>61</v>
      </c>
    </row>
    <row r="9" spans="1:5" ht="31.5" customHeight="1" x14ac:dyDescent="0.3">
      <c r="A9" s="299"/>
      <c r="B9" s="12" t="s">
        <v>64</v>
      </c>
      <c r="C9" s="283" t="s">
        <v>63</v>
      </c>
      <c r="D9" s="284"/>
      <c r="E9" s="11" t="s">
        <v>53</v>
      </c>
    </row>
    <row r="10" spans="1:5" ht="29.25" customHeight="1" x14ac:dyDescent="0.3">
      <c r="A10" s="308"/>
      <c r="B10" s="12" t="s">
        <v>65</v>
      </c>
      <c r="C10" s="291" t="s">
        <v>66</v>
      </c>
      <c r="D10" s="292"/>
      <c r="E10" s="11" t="s">
        <v>67</v>
      </c>
    </row>
    <row r="11" spans="1:5" ht="53.25" customHeight="1" x14ac:dyDescent="0.25">
      <c r="A11" s="295" t="s">
        <v>68</v>
      </c>
      <c r="B11" s="12" t="s">
        <v>69</v>
      </c>
      <c r="C11" s="7" t="s">
        <v>70</v>
      </c>
      <c r="D11" s="10" t="s">
        <v>55</v>
      </c>
      <c r="E11" s="13" t="s">
        <v>71</v>
      </c>
    </row>
    <row r="12" spans="1:5" ht="39" customHeight="1" x14ac:dyDescent="0.25">
      <c r="A12" s="295"/>
      <c r="B12" s="12" t="s">
        <v>51</v>
      </c>
      <c r="C12" s="224" t="s">
        <v>72</v>
      </c>
      <c r="D12" s="224" t="s">
        <v>73</v>
      </c>
      <c r="E12" s="9" t="s">
        <v>74</v>
      </c>
    </row>
    <row r="13" spans="1:5" ht="39" customHeight="1" x14ac:dyDescent="0.25">
      <c r="A13" s="295"/>
      <c r="B13" s="12" t="s">
        <v>54</v>
      </c>
      <c r="C13" s="10" t="s">
        <v>55</v>
      </c>
      <c r="D13" s="223" t="s">
        <v>75</v>
      </c>
      <c r="E13" s="13" t="s">
        <v>76</v>
      </c>
    </row>
    <row r="14" spans="1:5" ht="66" customHeight="1" x14ac:dyDescent="0.25">
      <c r="A14" s="295"/>
      <c r="B14" s="12" t="s">
        <v>77</v>
      </c>
      <c r="C14" s="7" t="s">
        <v>78</v>
      </c>
      <c r="D14" s="7" t="s">
        <v>79</v>
      </c>
      <c r="E14" s="9" t="s">
        <v>80</v>
      </c>
    </row>
    <row r="15" spans="1:5" ht="32.85" customHeight="1" x14ac:dyDescent="0.25">
      <c r="A15" s="295"/>
      <c r="B15" s="12" t="s">
        <v>57</v>
      </c>
      <c r="C15" s="10" t="s">
        <v>55</v>
      </c>
      <c r="D15" s="8" t="s">
        <v>81</v>
      </c>
      <c r="E15" s="13" t="s">
        <v>82</v>
      </c>
    </row>
    <row r="16" spans="1:5" ht="26.4" customHeight="1" x14ac:dyDescent="0.25">
      <c r="A16" s="295"/>
      <c r="B16" s="12" t="s">
        <v>62</v>
      </c>
      <c r="C16" s="283" t="s">
        <v>81</v>
      </c>
      <c r="D16" s="284"/>
      <c r="E16" s="13" t="s">
        <v>71</v>
      </c>
    </row>
    <row r="17" spans="1:5" ht="26.4" customHeight="1" x14ac:dyDescent="0.25">
      <c r="A17" s="295"/>
      <c r="B17" s="12" t="s">
        <v>64</v>
      </c>
      <c r="C17" s="283" t="s">
        <v>81</v>
      </c>
      <c r="D17" s="284"/>
      <c r="E17" s="13" t="s">
        <v>82</v>
      </c>
    </row>
    <row r="18" spans="1:5" ht="53.25" customHeight="1" x14ac:dyDescent="0.25">
      <c r="A18" s="295"/>
      <c r="B18" s="12" t="s">
        <v>65</v>
      </c>
      <c r="C18" s="7" t="s">
        <v>83</v>
      </c>
      <c r="D18" s="7" t="s">
        <v>84</v>
      </c>
      <c r="E18" s="9" t="s">
        <v>85</v>
      </c>
    </row>
    <row r="19" spans="1:5" ht="58.5" customHeight="1" x14ac:dyDescent="0.25">
      <c r="A19" s="294" t="s">
        <v>86</v>
      </c>
      <c r="B19" s="6" t="s">
        <v>57</v>
      </c>
      <c r="C19" s="10" t="s">
        <v>55</v>
      </c>
      <c r="D19" s="7" t="s">
        <v>87</v>
      </c>
      <c r="E19" s="13" t="s">
        <v>88</v>
      </c>
    </row>
    <row r="20" spans="1:5" ht="72.599999999999994" customHeight="1" x14ac:dyDescent="0.25">
      <c r="A20" s="294"/>
      <c r="B20" s="6" t="s">
        <v>62</v>
      </c>
      <c r="C20" s="283" t="s">
        <v>89</v>
      </c>
      <c r="D20" s="284"/>
      <c r="E20" s="13" t="s">
        <v>88</v>
      </c>
    </row>
    <row r="21" spans="1:5" ht="61.65" customHeight="1" x14ac:dyDescent="0.25">
      <c r="A21" s="294"/>
      <c r="B21" s="6" t="s">
        <v>90</v>
      </c>
      <c r="C21" s="291" t="s">
        <v>91</v>
      </c>
      <c r="D21" s="292"/>
      <c r="E21" s="9" t="s">
        <v>92</v>
      </c>
    </row>
    <row r="22" spans="1:5" ht="55.65" customHeight="1" x14ac:dyDescent="0.25">
      <c r="A22" s="294"/>
      <c r="B22" s="6" t="s">
        <v>64</v>
      </c>
      <c r="C22" s="283" t="s">
        <v>89</v>
      </c>
      <c r="D22" s="284"/>
      <c r="E22" s="13" t="s">
        <v>88</v>
      </c>
    </row>
    <row r="23" spans="1:5" ht="64.5" customHeight="1" x14ac:dyDescent="0.25">
      <c r="A23" s="302" t="s">
        <v>93</v>
      </c>
      <c r="B23" s="6" t="s">
        <v>94</v>
      </c>
      <c r="C23" s="7" t="s">
        <v>95</v>
      </c>
      <c r="D23" s="7" t="s">
        <v>96</v>
      </c>
      <c r="E23" s="9" t="s">
        <v>97</v>
      </c>
    </row>
    <row r="24" spans="1:5" ht="65.849999999999994" customHeight="1" x14ac:dyDescent="0.25">
      <c r="A24" s="302"/>
      <c r="B24" s="6" t="s">
        <v>69</v>
      </c>
      <c r="C24" s="223" t="s">
        <v>98</v>
      </c>
      <c r="D24" s="10" t="s">
        <v>55</v>
      </c>
      <c r="E24" s="13" t="s">
        <v>99</v>
      </c>
    </row>
    <row r="25" spans="1:5" ht="65.849999999999994" customHeight="1" x14ac:dyDescent="0.25">
      <c r="A25" s="302"/>
      <c r="B25" s="6" t="s">
        <v>77</v>
      </c>
      <c r="C25" s="7" t="s">
        <v>100</v>
      </c>
      <c r="D25" s="7" t="s">
        <v>101</v>
      </c>
      <c r="E25" s="9" t="s">
        <v>92</v>
      </c>
    </row>
    <row r="26" spans="1:5" ht="65.849999999999994" customHeight="1" x14ac:dyDescent="0.25">
      <c r="A26" s="302"/>
      <c r="B26" s="6" t="s">
        <v>102</v>
      </c>
      <c r="C26" s="283" t="s">
        <v>103</v>
      </c>
      <c r="D26" s="284"/>
      <c r="E26" s="13" t="s">
        <v>104</v>
      </c>
    </row>
    <row r="27" spans="1:5" ht="51.75" customHeight="1" x14ac:dyDescent="0.25">
      <c r="A27" s="302"/>
      <c r="B27" s="6" t="s">
        <v>57</v>
      </c>
      <c r="C27" s="10" t="s">
        <v>55</v>
      </c>
      <c r="D27" s="223" t="s">
        <v>105</v>
      </c>
      <c r="E27" s="9" t="s">
        <v>106</v>
      </c>
    </row>
    <row r="28" spans="1:5" ht="65.849999999999994" customHeight="1" x14ac:dyDescent="0.25">
      <c r="A28" s="302"/>
      <c r="B28" s="12" t="s">
        <v>59</v>
      </c>
      <c r="C28" s="7" t="s">
        <v>107</v>
      </c>
      <c r="D28" s="7" t="s">
        <v>108</v>
      </c>
      <c r="E28" s="13" t="s">
        <v>109</v>
      </c>
    </row>
    <row r="29" spans="1:5" ht="49.5" customHeight="1" x14ac:dyDescent="0.25">
      <c r="A29" s="302"/>
      <c r="B29" s="6" t="s">
        <v>62</v>
      </c>
      <c r="C29" s="285" t="s">
        <v>110</v>
      </c>
      <c r="D29" s="286"/>
      <c r="E29" s="9" t="s">
        <v>106</v>
      </c>
    </row>
    <row r="30" spans="1:5" ht="65.849999999999994" customHeight="1" x14ac:dyDescent="0.25">
      <c r="A30" s="302"/>
      <c r="B30" s="6" t="s">
        <v>90</v>
      </c>
      <c r="C30" s="300" t="s">
        <v>111</v>
      </c>
      <c r="D30" s="301"/>
      <c r="E30" s="13" t="s">
        <v>92</v>
      </c>
    </row>
    <row r="31" spans="1:5" ht="65.849999999999994" customHeight="1" x14ac:dyDescent="0.25">
      <c r="A31" s="302"/>
      <c r="B31" s="6" t="s">
        <v>64</v>
      </c>
      <c r="C31" s="285" t="s">
        <v>112</v>
      </c>
      <c r="D31" s="286"/>
      <c r="E31" s="9" t="s">
        <v>106</v>
      </c>
    </row>
    <row r="32" spans="1:5" ht="54" customHeight="1" x14ac:dyDescent="0.25">
      <c r="A32" s="298" t="s">
        <v>113</v>
      </c>
      <c r="B32" s="12" t="s">
        <v>94</v>
      </c>
      <c r="C32" s="7" t="s">
        <v>114</v>
      </c>
      <c r="D32" s="7" t="s">
        <v>115</v>
      </c>
      <c r="E32" s="13" t="s">
        <v>116</v>
      </c>
    </row>
    <row r="33" spans="1:5" ht="52.5" customHeight="1" x14ac:dyDescent="0.25">
      <c r="A33" s="299"/>
      <c r="B33" s="12" t="s">
        <v>69</v>
      </c>
      <c r="C33" s="223" t="s">
        <v>117</v>
      </c>
      <c r="D33" s="10" t="s">
        <v>55</v>
      </c>
      <c r="E33" s="9" t="s">
        <v>99</v>
      </c>
    </row>
    <row r="34" spans="1:5" ht="39" customHeight="1" x14ac:dyDescent="0.25">
      <c r="A34" s="299"/>
      <c r="B34" s="12" t="s">
        <v>77</v>
      </c>
      <c r="C34" s="7" t="s">
        <v>118</v>
      </c>
      <c r="D34" s="7" t="s">
        <v>119</v>
      </c>
      <c r="E34" s="9" t="s">
        <v>116</v>
      </c>
    </row>
    <row r="35" spans="1:5" ht="39" customHeight="1" x14ac:dyDescent="0.25">
      <c r="A35" s="299"/>
      <c r="B35" s="12" t="s">
        <v>102</v>
      </c>
      <c r="C35" s="285" t="s">
        <v>120</v>
      </c>
      <c r="D35" s="286"/>
      <c r="E35" s="9" t="s">
        <v>121</v>
      </c>
    </row>
    <row r="36" spans="1:5" ht="39" customHeight="1" x14ac:dyDescent="0.25">
      <c r="A36" s="299"/>
      <c r="B36" s="12" t="s">
        <v>59</v>
      </c>
      <c r="C36" s="223" t="s">
        <v>122</v>
      </c>
      <c r="D36" s="7" t="s">
        <v>123</v>
      </c>
      <c r="E36" s="13" t="s">
        <v>124</v>
      </c>
    </row>
    <row r="37" spans="1:5" ht="28.5" customHeight="1" x14ac:dyDescent="0.25">
      <c r="A37" s="299"/>
      <c r="B37" s="12" t="s">
        <v>62</v>
      </c>
      <c r="C37" s="285" t="s">
        <v>125</v>
      </c>
      <c r="D37" s="286"/>
      <c r="E37" s="13" t="s">
        <v>126</v>
      </c>
    </row>
    <row r="38" spans="1:5" ht="50.25" customHeight="1" x14ac:dyDescent="0.25">
      <c r="A38" s="299"/>
      <c r="B38" s="12" t="s">
        <v>90</v>
      </c>
      <c r="C38" s="285" t="s">
        <v>127</v>
      </c>
      <c r="D38" s="286"/>
      <c r="E38" s="13" t="s">
        <v>92</v>
      </c>
    </row>
    <row r="39" spans="1:5" ht="50.25" customHeight="1" x14ac:dyDescent="0.25">
      <c r="A39" s="299"/>
      <c r="B39" s="12" t="s">
        <v>64</v>
      </c>
      <c r="C39" s="283" t="s">
        <v>128</v>
      </c>
      <c r="D39" s="284"/>
      <c r="E39" s="13" t="s">
        <v>126</v>
      </c>
    </row>
    <row r="40" spans="1:5" ht="39.9" customHeight="1" x14ac:dyDescent="0.25">
      <c r="A40" s="299"/>
      <c r="B40" s="12" t="s">
        <v>65</v>
      </c>
      <c r="C40" s="223" t="s">
        <v>129</v>
      </c>
      <c r="D40" s="223" t="s">
        <v>130</v>
      </c>
      <c r="E40" s="9" t="s">
        <v>131</v>
      </c>
    </row>
    <row r="41" spans="1:5" ht="66.599999999999994" customHeight="1" x14ac:dyDescent="0.25">
      <c r="A41" s="294" t="s">
        <v>132</v>
      </c>
      <c r="B41" s="12" t="s">
        <v>94</v>
      </c>
      <c r="C41" s="7" t="s">
        <v>133</v>
      </c>
      <c r="D41" s="7" t="s">
        <v>134</v>
      </c>
      <c r="E41" s="13" t="s">
        <v>135</v>
      </c>
    </row>
    <row r="42" spans="1:5" ht="66.599999999999994" customHeight="1" x14ac:dyDescent="0.25">
      <c r="A42" s="294"/>
      <c r="B42" s="12" t="s">
        <v>69</v>
      </c>
      <c r="C42" s="7" t="s">
        <v>136</v>
      </c>
      <c r="D42" s="10" t="s">
        <v>55</v>
      </c>
      <c r="E42" s="9" t="s">
        <v>99</v>
      </c>
    </row>
    <row r="43" spans="1:5" ht="66.599999999999994" customHeight="1" x14ac:dyDescent="0.25">
      <c r="A43" s="294"/>
      <c r="B43" s="12" t="s">
        <v>77</v>
      </c>
      <c r="C43" s="14" t="s">
        <v>137</v>
      </c>
      <c r="D43" s="14" t="s">
        <v>138</v>
      </c>
      <c r="E43" s="13" t="s">
        <v>92</v>
      </c>
    </row>
    <row r="44" spans="1:5" ht="83.25" customHeight="1" x14ac:dyDescent="0.25">
      <c r="A44" s="294"/>
      <c r="B44" s="12" t="s">
        <v>59</v>
      </c>
      <c r="C44" s="7" t="s">
        <v>139</v>
      </c>
      <c r="D44" s="7" t="s">
        <v>140</v>
      </c>
      <c r="E44" s="9" t="s">
        <v>141</v>
      </c>
    </row>
    <row r="45" spans="1:5" ht="54.9" customHeight="1" x14ac:dyDescent="0.25">
      <c r="A45" s="294"/>
      <c r="B45" s="12" t="s">
        <v>90</v>
      </c>
      <c r="C45" s="291" t="s">
        <v>142</v>
      </c>
      <c r="D45" s="292"/>
      <c r="E45" s="13" t="s">
        <v>92</v>
      </c>
    </row>
    <row r="46" spans="1:5" ht="74.25" customHeight="1" x14ac:dyDescent="0.25">
      <c r="A46" s="295" t="s">
        <v>143</v>
      </c>
      <c r="B46" s="6" t="s">
        <v>94</v>
      </c>
      <c r="C46" s="7" t="s">
        <v>144</v>
      </c>
      <c r="D46" s="7" t="s">
        <v>145</v>
      </c>
      <c r="E46" s="13" t="s">
        <v>135</v>
      </c>
    </row>
    <row r="47" spans="1:5" ht="56.25" customHeight="1" x14ac:dyDescent="0.25">
      <c r="A47" s="295"/>
      <c r="B47" s="6" t="s">
        <v>69</v>
      </c>
      <c r="C47" s="7" t="s">
        <v>144</v>
      </c>
      <c r="D47" s="10" t="s">
        <v>55</v>
      </c>
      <c r="E47" s="9" t="s">
        <v>99</v>
      </c>
    </row>
    <row r="48" spans="1:5" ht="108" customHeight="1" x14ac:dyDescent="0.25">
      <c r="A48" s="295"/>
      <c r="B48" s="6" t="s">
        <v>51</v>
      </c>
      <c r="C48" s="7" t="s">
        <v>146</v>
      </c>
      <c r="D48" s="7" t="s">
        <v>147</v>
      </c>
      <c r="E48" s="9" t="s">
        <v>74</v>
      </c>
    </row>
    <row r="49" spans="1:5" ht="98.25" customHeight="1" x14ac:dyDescent="0.25">
      <c r="A49" s="295"/>
      <c r="B49" s="6" t="s">
        <v>54</v>
      </c>
      <c r="C49" s="10" t="s">
        <v>55</v>
      </c>
      <c r="D49" s="7" t="s">
        <v>147</v>
      </c>
      <c r="E49" s="13" t="s">
        <v>76</v>
      </c>
    </row>
    <row r="50" spans="1:5" ht="98.25" customHeight="1" x14ac:dyDescent="0.25">
      <c r="A50" s="295"/>
      <c r="B50" s="6" t="s">
        <v>77</v>
      </c>
      <c r="C50" s="47" t="s">
        <v>148</v>
      </c>
      <c r="D50" s="47" t="s">
        <v>149</v>
      </c>
      <c r="E50" s="9" t="s">
        <v>150</v>
      </c>
    </row>
    <row r="51" spans="1:5" ht="98.25" customHeight="1" x14ac:dyDescent="0.25">
      <c r="A51" s="295"/>
      <c r="B51" s="6" t="s">
        <v>102</v>
      </c>
      <c r="C51" s="7" t="s">
        <v>151</v>
      </c>
      <c r="D51" s="7" t="s">
        <v>151</v>
      </c>
      <c r="E51" s="9" t="s">
        <v>152</v>
      </c>
    </row>
    <row r="52" spans="1:5" ht="98.25" customHeight="1" x14ac:dyDescent="0.25">
      <c r="A52" s="295"/>
      <c r="B52" s="12" t="s">
        <v>59</v>
      </c>
      <c r="C52" s="7" t="s">
        <v>153</v>
      </c>
      <c r="D52" s="7" t="s">
        <v>154</v>
      </c>
      <c r="E52" s="9" t="s">
        <v>155</v>
      </c>
    </row>
    <row r="53" spans="1:5" ht="58.5" customHeight="1" x14ac:dyDescent="0.25">
      <c r="A53" s="295"/>
      <c r="B53" s="6" t="s">
        <v>90</v>
      </c>
      <c r="C53" s="283" t="s">
        <v>156</v>
      </c>
      <c r="D53" s="284"/>
      <c r="E53" s="13" t="s">
        <v>92</v>
      </c>
    </row>
    <row r="54" spans="1:5" ht="71.099999999999994" customHeight="1" x14ac:dyDescent="0.25">
      <c r="A54" s="294" t="s">
        <v>157</v>
      </c>
      <c r="B54" s="6" t="s">
        <v>94</v>
      </c>
      <c r="C54" s="7" t="s">
        <v>158</v>
      </c>
      <c r="D54" s="7" t="s">
        <v>159</v>
      </c>
      <c r="E54" s="9" t="s">
        <v>116</v>
      </c>
    </row>
    <row r="55" spans="1:5" ht="71.099999999999994" customHeight="1" x14ac:dyDescent="0.25">
      <c r="A55" s="294"/>
      <c r="B55" s="12" t="s">
        <v>69</v>
      </c>
      <c r="C55" s="223" t="s">
        <v>160</v>
      </c>
      <c r="D55" s="10" t="s">
        <v>55</v>
      </c>
      <c r="E55" s="9" t="s">
        <v>99</v>
      </c>
    </row>
    <row r="56" spans="1:5" ht="42.75" customHeight="1" x14ac:dyDescent="0.25">
      <c r="A56" s="294"/>
      <c r="B56" s="6" t="s">
        <v>77</v>
      </c>
      <c r="C56" s="7" t="s">
        <v>161</v>
      </c>
      <c r="D56" s="7" t="s">
        <v>162</v>
      </c>
      <c r="E56" s="9" t="s">
        <v>116</v>
      </c>
    </row>
    <row r="57" spans="1:5" ht="42.75" customHeight="1" x14ac:dyDescent="0.25">
      <c r="A57" s="294"/>
      <c r="B57" s="6" t="s">
        <v>102</v>
      </c>
      <c r="C57" s="285" t="s">
        <v>163</v>
      </c>
      <c r="D57" s="286"/>
      <c r="E57" s="9" t="s">
        <v>104</v>
      </c>
    </row>
    <row r="58" spans="1:5" ht="96" customHeight="1" x14ac:dyDescent="0.25">
      <c r="A58" s="294"/>
      <c r="B58" s="6" t="s">
        <v>57</v>
      </c>
      <c r="C58" s="10" t="s">
        <v>55</v>
      </c>
      <c r="D58" s="223" t="s">
        <v>164</v>
      </c>
      <c r="E58" s="9" t="s">
        <v>165</v>
      </c>
    </row>
    <row r="59" spans="1:5" ht="56.25" customHeight="1" x14ac:dyDescent="0.25">
      <c r="A59" s="294"/>
      <c r="B59" s="12" t="s">
        <v>59</v>
      </c>
      <c r="C59" s="223" t="s">
        <v>166</v>
      </c>
      <c r="D59" s="223" t="s">
        <v>167</v>
      </c>
      <c r="E59" s="9" t="s">
        <v>124</v>
      </c>
    </row>
    <row r="60" spans="1:5" ht="51.6" customHeight="1" x14ac:dyDescent="0.25">
      <c r="A60" s="294"/>
      <c r="B60" s="6" t="s">
        <v>90</v>
      </c>
      <c r="C60" s="300" t="s">
        <v>168</v>
      </c>
      <c r="D60" s="301"/>
      <c r="E60" s="9" t="s">
        <v>92</v>
      </c>
    </row>
    <row r="61" spans="1:5" ht="33" customHeight="1" x14ac:dyDescent="0.25">
      <c r="A61" s="294"/>
      <c r="B61" s="6" t="s">
        <v>64</v>
      </c>
      <c r="C61" s="287" t="s">
        <v>169</v>
      </c>
      <c r="D61" s="288"/>
      <c r="E61" s="9" t="s">
        <v>170</v>
      </c>
    </row>
    <row r="62" spans="1:5" ht="37.35" customHeight="1" x14ac:dyDescent="0.25">
      <c r="A62" s="294"/>
      <c r="B62" s="6" t="s">
        <v>65</v>
      </c>
      <c r="C62" s="223" t="s">
        <v>171</v>
      </c>
      <c r="D62" s="223" t="s">
        <v>172</v>
      </c>
      <c r="E62" s="9" t="s">
        <v>92</v>
      </c>
    </row>
    <row r="63" spans="1:5" ht="66.75" customHeight="1" x14ac:dyDescent="0.25">
      <c r="A63" s="298" t="s">
        <v>173</v>
      </c>
      <c r="B63" s="6" t="s">
        <v>94</v>
      </c>
      <c r="C63" s="7" t="s">
        <v>174</v>
      </c>
      <c r="D63" s="7" t="s">
        <v>175</v>
      </c>
      <c r="E63" s="9" t="s">
        <v>176</v>
      </c>
    </row>
    <row r="64" spans="1:5" ht="66.75" customHeight="1" x14ac:dyDescent="0.25">
      <c r="A64" s="299"/>
      <c r="B64" s="6" t="s">
        <v>69</v>
      </c>
      <c r="C64" s="223" t="s">
        <v>177</v>
      </c>
      <c r="D64" s="15" t="s">
        <v>55</v>
      </c>
      <c r="E64" s="9" t="s">
        <v>99</v>
      </c>
    </row>
    <row r="65" spans="1:5" ht="48" customHeight="1" x14ac:dyDescent="0.25">
      <c r="A65" s="299"/>
      <c r="B65" s="6" t="s">
        <v>51</v>
      </c>
      <c r="C65" s="285" t="s">
        <v>178</v>
      </c>
      <c r="D65" s="286"/>
      <c r="E65" s="9" t="s">
        <v>74</v>
      </c>
    </row>
    <row r="66" spans="1:5" ht="48" customHeight="1" x14ac:dyDescent="0.25">
      <c r="A66" s="299"/>
      <c r="B66" s="6" t="s">
        <v>54</v>
      </c>
      <c r="C66" s="15" t="s">
        <v>55</v>
      </c>
      <c r="D66" s="225" t="s">
        <v>179</v>
      </c>
      <c r="E66" s="9" t="s">
        <v>76</v>
      </c>
    </row>
    <row r="67" spans="1:5" ht="48" customHeight="1" x14ac:dyDescent="0.25">
      <c r="A67" s="299"/>
      <c r="B67" s="6" t="s">
        <v>77</v>
      </c>
      <c r="C67" s="223" t="s">
        <v>180</v>
      </c>
      <c r="D67" s="223" t="s">
        <v>181</v>
      </c>
      <c r="E67" s="9" t="s">
        <v>176</v>
      </c>
    </row>
    <row r="68" spans="1:5" ht="48" customHeight="1" x14ac:dyDescent="0.25">
      <c r="A68" s="299"/>
      <c r="B68" s="6" t="s">
        <v>102</v>
      </c>
      <c r="C68" s="285" t="s">
        <v>182</v>
      </c>
      <c r="D68" s="286"/>
      <c r="E68" s="9" t="s">
        <v>121</v>
      </c>
    </row>
    <row r="69" spans="1:5" ht="63.75" customHeight="1" x14ac:dyDescent="0.25">
      <c r="A69" s="299"/>
      <c r="B69" s="6" t="s">
        <v>57</v>
      </c>
      <c r="C69" s="15" t="s">
        <v>55</v>
      </c>
      <c r="D69" s="223" t="s">
        <v>183</v>
      </c>
      <c r="E69" s="9" t="s">
        <v>184</v>
      </c>
    </row>
    <row r="70" spans="1:5" ht="51" customHeight="1" x14ac:dyDescent="0.25">
      <c r="A70" s="299"/>
      <c r="B70" s="12" t="s">
        <v>59</v>
      </c>
      <c r="C70" s="7" t="s">
        <v>185</v>
      </c>
      <c r="D70" s="7" t="s">
        <v>186</v>
      </c>
      <c r="E70" s="9" t="s">
        <v>187</v>
      </c>
    </row>
    <row r="71" spans="1:5" ht="66.75" customHeight="1" x14ac:dyDescent="0.25">
      <c r="A71" s="299"/>
      <c r="B71" s="6" t="s">
        <v>62</v>
      </c>
      <c r="C71" s="285" t="s">
        <v>188</v>
      </c>
      <c r="D71" s="286"/>
      <c r="E71" s="9" t="s">
        <v>184</v>
      </c>
    </row>
    <row r="72" spans="1:5" ht="51.6" customHeight="1" x14ac:dyDescent="0.25">
      <c r="A72" s="299"/>
      <c r="B72" s="6" t="s">
        <v>90</v>
      </c>
      <c r="C72" s="285" t="s">
        <v>189</v>
      </c>
      <c r="D72" s="286"/>
      <c r="E72" s="9" t="s">
        <v>92</v>
      </c>
    </row>
    <row r="73" spans="1:5" ht="60" customHeight="1" x14ac:dyDescent="0.25">
      <c r="A73" s="299"/>
      <c r="B73" s="6" t="s">
        <v>64</v>
      </c>
      <c r="C73" s="291" t="s">
        <v>190</v>
      </c>
      <c r="D73" s="292"/>
      <c r="E73" s="9" t="s">
        <v>184</v>
      </c>
    </row>
    <row r="74" spans="1:5" ht="39.9" customHeight="1" x14ac:dyDescent="0.25">
      <c r="A74" s="299"/>
      <c r="B74" s="6" t="s">
        <v>65</v>
      </c>
      <c r="C74" s="223" t="s">
        <v>191</v>
      </c>
      <c r="D74" s="225" t="s">
        <v>192</v>
      </c>
      <c r="E74" s="9" t="s">
        <v>131</v>
      </c>
    </row>
    <row r="75" spans="1:5" ht="57.6" customHeight="1" x14ac:dyDescent="0.25">
      <c r="A75" s="294" t="s">
        <v>193</v>
      </c>
      <c r="B75" s="6" t="s">
        <v>94</v>
      </c>
      <c r="C75" s="7" t="s">
        <v>194</v>
      </c>
      <c r="D75" s="7" t="s">
        <v>195</v>
      </c>
      <c r="E75" s="9" t="s">
        <v>116</v>
      </c>
    </row>
    <row r="76" spans="1:5" ht="57.6" customHeight="1" x14ac:dyDescent="0.25">
      <c r="A76" s="294"/>
      <c r="B76" s="6" t="s">
        <v>69</v>
      </c>
      <c r="C76" s="7" t="s">
        <v>194</v>
      </c>
      <c r="D76" s="16" t="s">
        <v>55</v>
      </c>
      <c r="E76" s="9" t="s">
        <v>99</v>
      </c>
    </row>
    <row r="77" spans="1:5" ht="41.25" customHeight="1" x14ac:dyDescent="0.25">
      <c r="A77" s="294"/>
      <c r="B77" s="6" t="s">
        <v>77</v>
      </c>
      <c r="C77" s="7" t="s">
        <v>196</v>
      </c>
      <c r="D77" s="7" t="s">
        <v>197</v>
      </c>
      <c r="E77" s="9" t="s">
        <v>92</v>
      </c>
    </row>
    <row r="78" spans="1:5" ht="42" customHeight="1" x14ac:dyDescent="0.25">
      <c r="A78" s="294"/>
      <c r="B78" s="6" t="s">
        <v>102</v>
      </c>
      <c r="C78" s="283" t="s">
        <v>198</v>
      </c>
      <c r="D78" s="284"/>
      <c r="E78" s="9" t="s">
        <v>104</v>
      </c>
    </row>
    <row r="79" spans="1:5" ht="60" customHeight="1" x14ac:dyDescent="0.25">
      <c r="A79" s="294"/>
      <c r="B79" s="6" t="s">
        <v>59</v>
      </c>
      <c r="C79" s="7" t="s">
        <v>199</v>
      </c>
      <c r="D79" s="7" t="s">
        <v>200</v>
      </c>
      <c r="E79" s="9" t="s">
        <v>187</v>
      </c>
    </row>
    <row r="80" spans="1:5" ht="54.15" customHeight="1" x14ac:dyDescent="0.25">
      <c r="A80" s="294"/>
      <c r="B80" s="6" t="s">
        <v>90</v>
      </c>
      <c r="C80" s="289" t="s">
        <v>201</v>
      </c>
      <c r="D80" s="290"/>
      <c r="E80" s="9" t="s">
        <v>92</v>
      </c>
    </row>
    <row r="81" spans="1:5" ht="36" customHeight="1" x14ac:dyDescent="0.25">
      <c r="A81" s="294"/>
      <c r="B81" s="6" t="s">
        <v>64</v>
      </c>
      <c r="C81" s="289" t="s">
        <v>202</v>
      </c>
      <c r="D81" s="290"/>
      <c r="E81" s="9" t="s">
        <v>109</v>
      </c>
    </row>
    <row r="82" spans="1:5" ht="45.6" customHeight="1" x14ac:dyDescent="0.25">
      <c r="A82" s="294"/>
      <c r="B82" s="6" t="s">
        <v>65</v>
      </c>
      <c r="C82" s="283" t="s">
        <v>203</v>
      </c>
      <c r="D82" s="284"/>
      <c r="E82" s="9" t="s">
        <v>131</v>
      </c>
    </row>
    <row r="83" spans="1:5" ht="34.5" customHeight="1" x14ac:dyDescent="0.25">
      <c r="A83" s="303" t="s">
        <v>204</v>
      </c>
      <c r="B83" s="6" t="s">
        <v>77</v>
      </c>
      <c r="C83" s="7" t="s">
        <v>205</v>
      </c>
      <c r="D83" s="7" t="s">
        <v>206</v>
      </c>
      <c r="E83" s="9" t="s">
        <v>92</v>
      </c>
    </row>
    <row r="84" spans="1:5" ht="34.5" customHeight="1" x14ac:dyDescent="0.25">
      <c r="A84" s="303"/>
      <c r="B84" s="6" t="s">
        <v>102</v>
      </c>
      <c r="C84" s="283" t="s">
        <v>207</v>
      </c>
      <c r="D84" s="284"/>
      <c r="E84" s="9" t="s">
        <v>208</v>
      </c>
    </row>
    <row r="85" spans="1:5" ht="38.4" customHeight="1" x14ac:dyDescent="0.25">
      <c r="A85" s="303"/>
      <c r="B85" s="12" t="s">
        <v>59</v>
      </c>
      <c r="C85" s="7" t="s">
        <v>209</v>
      </c>
      <c r="D85" s="7" t="s">
        <v>210</v>
      </c>
      <c r="E85" s="9" t="s">
        <v>187</v>
      </c>
    </row>
    <row r="86" spans="1:5" ht="72" customHeight="1" x14ac:dyDescent="0.25">
      <c r="A86" s="294" t="s">
        <v>211</v>
      </c>
      <c r="B86" s="6" t="s">
        <v>94</v>
      </c>
      <c r="C86" s="7" t="s">
        <v>212</v>
      </c>
      <c r="D86" s="7" t="s">
        <v>213</v>
      </c>
      <c r="E86" s="9" t="s">
        <v>135</v>
      </c>
    </row>
    <row r="87" spans="1:5" ht="72" customHeight="1" x14ac:dyDescent="0.25">
      <c r="A87" s="294"/>
      <c r="B87" s="6" t="s">
        <v>69</v>
      </c>
      <c r="C87" s="7" t="s">
        <v>212</v>
      </c>
      <c r="D87" s="16" t="s">
        <v>55</v>
      </c>
      <c r="E87" s="9" t="s">
        <v>99</v>
      </c>
    </row>
    <row r="88" spans="1:5" ht="90" customHeight="1" x14ac:dyDescent="0.25">
      <c r="A88" s="294"/>
      <c r="B88" s="6" t="s">
        <v>51</v>
      </c>
      <c r="C88" s="283" t="s">
        <v>214</v>
      </c>
      <c r="D88" s="284"/>
      <c r="E88" s="9" t="s">
        <v>74</v>
      </c>
    </row>
    <row r="89" spans="1:5" ht="102" customHeight="1" x14ac:dyDescent="0.25">
      <c r="A89" s="294"/>
      <c r="B89" s="6" t="s">
        <v>54</v>
      </c>
      <c r="C89" s="16" t="s">
        <v>55</v>
      </c>
      <c r="D89" s="224" t="s">
        <v>215</v>
      </c>
      <c r="E89" s="9" t="s">
        <v>76</v>
      </c>
    </row>
    <row r="90" spans="1:5" ht="81.75" customHeight="1" x14ac:dyDescent="0.25">
      <c r="A90" s="294"/>
      <c r="B90" s="6" t="s">
        <v>77</v>
      </c>
      <c r="C90" s="7" t="s">
        <v>216</v>
      </c>
      <c r="D90" s="7" t="s">
        <v>217</v>
      </c>
      <c r="E90" s="9" t="s">
        <v>92</v>
      </c>
    </row>
    <row r="91" spans="1:5" ht="58.5" customHeight="1" x14ac:dyDescent="0.25">
      <c r="A91" s="294"/>
      <c r="B91" s="6" t="s">
        <v>102</v>
      </c>
      <c r="C91" s="283" t="s">
        <v>218</v>
      </c>
      <c r="D91" s="284"/>
      <c r="E91" s="9" t="s">
        <v>104</v>
      </c>
    </row>
    <row r="92" spans="1:5" ht="58.5" customHeight="1" x14ac:dyDescent="0.25">
      <c r="A92" s="294"/>
      <c r="B92" s="6" t="s">
        <v>59</v>
      </c>
      <c r="C92" s="283" t="s">
        <v>219</v>
      </c>
      <c r="D92" s="284"/>
      <c r="E92" s="9" t="s">
        <v>109</v>
      </c>
    </row>
    <row r="93" spans="1:5" ht="54.9" customHeight="1" x14ac:dyDescent="0.25">
      <c r="A93" s="294"/>
      <c r="B93" s="6" t="s">
        <v>90</v>
      </c>
      <c r="C93" s="289" t="s">
        <v>220</v>
      </c>
      <c r="D93" s="290"/>
      <c r="E93" s="9" t="s">
        <v>92</v>
      </c>
    </row>
    <row r="94" spans="1:5" ht="27.6" customHeight="1" x14ac:dyDescent="0.25">
      <c r="A94" s="294"/>
      <c r="B94" s="6" t="s">
        <v>64</v>
      </c>
      <c r="C94" s="283" t="s">
        <v>221</v>
      </c>
      <c r="D94" s="284"/>
      <c r="E94" s="9" t="s">
        <v>222</v>
      </c>
    </row>
    <row r="95" spans="1:5" ht="71.25" customHeight="1" x14ac:dyDescent="0.25">
      <c r="A95" s="294" t="s">
        <v>223</v>
      </c>
      <c r="B95" s="6" t="s">
        <v>94</v>
      </c>
      <c r="C95" s="7" t="s">
        <v>224</v>
      </c>
      <c r="D95" s="7" t="s">
        <v>225</v>
      </c>
      <c r="E95" s="9" t="s">
        <v>116</v>
      </c>
    </row>
    <row r="96" spans="1:5" ht="71.25" customHeight="1" x14ac:dyDescent="0.25">
      <c r="A96" s="294"/>
      <c r="B96" s="6" t="s">
        <v>69</v>
      </c>
      <c r="C96" s="7" t="s">
        <v>224</v>
      </c>
      <c r="D96" s="16" t="s">
        <v>55</v>
      </c>
      <c r="E96" s="9" t="s">
        <v>99</v>
      </c>
    </row>
    <row r="97" spans="1:5" ht="48" customHeight="1" x14ac:dyDescent="0.25">
      <c r="A97" s="294"/>
      <c r="B97" s="6" t="s">
        <v>77</v>
      </c>
      <c r="C97" s="7" t="s">
        <v>226</v>
      </c>
      <c r="D97" s="7" t="s">
        <v>227</v>
      </c>
      <c r="E97" s="9" t="s">
        <v>116</v>
      </c>
    </row>
    <row r="98" spans="1:5" ht="34.5" customHeight="1" x14ac:dyDescent="0.25">
      <c r="A98" s="294"/>
      <c r="B98" s="6" t="s">
        <v>102</v>
      </c>
      <c r="C98" s="283" t="s">
        <v>228</v>
      </c>
      <c r="D98" s="284"/>
      <c r="E98" s="9" t="s">
        <v>104</v>
      </c>
    </row>
    <row r="99" spans="1:5" ht="34.5" customHeight="1" x14ac:dyDescent="0.25">
      <c r="A99" s="294"/>
      <c r="B99" s="6" t="s">
        <v>59</v>
      </c>
      <c r="C99" s="7" t="s">
        <v>229</v>
      </c>
      <c r="D99" s="7" t="s">
        <v>230</v>
      </c>
      <c r="E99" s="9" t="s">
        <v>187</v>
      </c>
    </row>
    <row r="100" spans="1:5" ht="54.75" customHeight="1" x14ac:dyDescent="0.25">
      <c r="A100" s="298" t="s">
        <v>231</v>
      </c>
      <c r="B100" s="6" t="s">
        <v>94</v>
      </c>
      <c r="C100" s="223" t="s">
        <v>232</v>
      </c>
      <c r="D100" s="223" t="s">
        <v>233</v>
      </c>
      <c r="E100" s="9"/>
    </row>
    <row r="101" spans="1:5" ht="66" customHeight="1" x14ac:dyDescent="0.25">
      <c r="A101" s="299"/>
      <c r="B101" s="6" t="s">
        <v>69</v>
      </c>
      <c r="C101" s="223" t="s">
        <v>234</v>
      </c>
      <c r="D101" s="17" t="s">
        <v>55</v>
      </c>
      <c r="E101" s="9" t="s">
        <v>99</v>
      </c>
    </row>
    <row r="102" spans="1:5" ht="57" customHeight="1" x14ac:dyDescent="0.25">
      <c r="A102" s="299"/>
      <c r="B102" s="6" t="s">
        <v>102</v>
      </c>
      <c r="C102" s="7" t="s">
        <v>235</v>
      </c>
      <c r="D102" s="7" t="s">
        <v>236</v>
      </c>
      <c r="E102" s="9" t="s">
        <v>121</v>
      </c>
    </row>
    <row r="103" spans="1:5" ht="71.25" customHeight="1" x14ac:dyDescent="0.25">
      <c r="A103" s="299"/>
      <c r="B103" s="6" t="s">
        <v>57</v>
      </c>
      <c r="C103" s="17" t="s">
        <v>55</v>
      </c>
      <c r="D103" s="223" t="s">
        <v>237</v>
      </c>
      <c r="E103" s="9" t="s">
        <v>238</v>
      </c>
    </row>
    <row r="104" spans="1:5" ht="78" customHeight="1" x14ac:dyDescent="0.25">
      <c r="A104" s="299"/>
      <c r="B104" s="6" t="s">
        <v>62</v>
      </c>
      <c r="C104" s="7" t="s">
        <v>239</v>
      </c>
      <c r="D104" s="7" t="s">
        <v>240</v>
      </c>
      <c r="E104" s="9" t="s">
        <v>238</v>
      </c>
    </row>
    <row r="105" spans="1:5" ht="64.5" customHeight="1" x14ac:dyDescent="0.25">
      <c r="A105" s="299"/>
      <c r="B105" s="6" t="s">
        <v>90</v>
      </c>
      <c r="C105" s="285" t="s">
        <v>241</v>
      </c>
      <c r="D105" s="286"/>
      <c r="E105" s="9" t="s">
        <v>92</v>
      </c>
    </row>
    <row r="106" spans="1:5" ht="75" customHeight="1" x14ac:dyDescent="0.25">
      <c r="A106" s="299"/>
      <c r="B106" s="6" t="s">
        <v>64</v>
      </c>
      <c r="C106" s="7" t="s">
        <v>242</v>
      </c>
      <c r="D106" s="223" t="s">
        <v>243</v>
      </c>
      <c r="E106" s="9" t="s">
        <v>238</v>
      </c>
    </row>
    <row r="107" spans="1:5" ht="52.5" customHeight="1" x14ac:dyDescent="0.25">
      <c r="A107" s="299"/>
      <c r="B107" s="6" t="s">
        <v>65</v>
      </c>
      <c r="C107" s="7" t="s">
        <v>244</v>
      </c>
      <c r="D107" s="7" t="s">
        <v>245</v>
      </c>
      <c r="E107" s="9" t="s">
        <v>131</v>
      </c>
    </row>
    <row r="108" spans="1:5" ht="45.6" customHeight="1" x14ac:dyDescent="0.25">
      <c r="A108" s="106" t="s">
        <v>246</v>
      </c>
      <c r="B108" s="6" t="s">
        <v>77</v>
      </c>
      <c r="C108" s="283" t="s">
        <v>247</v>
      </c>
      <c r="D108" s="284"/>
      <c r="E108" s="9" t="s">
        <v>92</v>
      </c>
    </row>
    <row r="109" spans="1:5" ht="43.35" customHeight="1" x14ac:dyDescent="0.25">
      <c r="A109" s="296" t="s">
        <v>248</v>
      </c>
      <c r="B109" s="6" t="s">
        <v>54</v>
      </c>
      <c r="C109" s="10" t="s">
        <v>55</v>
      </c>
      <c r="D109" s="223" t="s">
        <v>249</v>
      </c>
      <c r="E109" s="9"/>
    </row>
    <row r="110" spans="1:5" ht="43.35" customHeight="1" x14ac:dyDescent="0.25">
      <c r="A110" s="297"/>
      <c r="B110" s="6" t="s">
        <v>77</v>
      </c>
      <c r="C110" s="224" t="s">
        <v>250</v>
      </c>
      <c r="D110" s="224" t="s">
        <v>251</v>
      </c>
      <c r="E110" s="9" t="s">
        <v>92</v>
      </c>
    </row>
    <row r="111" spans="1:5" ht="56.85" customHeight="1" x14ac:dyDescent="0.25">
      <c r="A111" s="295" t="s">
        <v>252</v>
      </c>
      <c r="B111" s="6" t="s">
        <v>94</v>
      </c>
      <c r="C111" s="7" t="s">
        <v>253</v>
      </c>
      <c r="D111" s="7" t="s">
        <v>254</v>
      </c>
      <c r="E111" s="9" t="s">
        <v>135</v>
      </c>
    </row>
    <row r="112" spans="1:5" ht="56.85" customHeight="1" x14ac:dyDescent="0.25">
      <c r="A112" s="295"/>
      <c r="B112" s="6" t="s">
        <v>69</v>
      </c>
      <c r="C112" s="7" t="s">
        <v>253</v>
      </c>
      <c r="D112" s="10" t="s">
        <v>55</v>
      </c>
      <c r="E112" s="9" t="s">
        <v>99</v>
      </c>
    </row>
    <row r="113" spans="1:5" ht="56.85" customHeight="1" x14ac:dyDescent="0.25">
      <c r="A113" s="295"/>
      <c r="B113" s="6" t="s">
        <v>77</v>
      </c>
      <c r="C113" s="7" t="s">
        <v>255</v>
      </c>
      <c r="D113" s="7" t="s">
        <v>256</v>
      </c>
      <c r="E113" s="9" t="s">
        <v>92</v>
      </c>
    </row>
    <row r="114" spans="1:5" ht="41.25" customHeight="1" x14ac:dyDescent="0.25">
      <c r="A114" s="295"/>
      <c r="B114" s="6" t="s">
        <v>102</v>
      </c>
      <c r="C114" s="283" t="s">
        <v>257</v>
      </c>
      <c r="D114" s="284"/>
      <c r="E114" s="9" t="s">
        <v>258</v>
      </c>
    </row>
    <row r="115" spans="1:5" ht="41.25" customHeight="1" x14ac:dyDescent="0.25">
      <c r="A115" s="295"/>
      <c r="B115" s="6" t="s">
        <v>57</v>
      </c>
      <c r="C115" s="10" t="s">
        <v>55</v>
      </c>
      <c r="D115" s="7" t="s">
        <v>259</v>
      </c>
      <c r="E115" s="9" t="s">
        <v>74</v>
      </c>
    </row>
    <row r="116" spans="1:5" ht="41.25" customHeight="1" x14ac:dyDescent="0.25">
      <c r="A116" s="295"/>
      <c r="B116" s="6" t="s">
        <v>62</v>
      </c>
      <c r="C116" s="7" t="s">
        <v>260</v>
      </c>
      <c r="D116" s="7" t="s">
        <v>259</v>
      </c>
      <c r="E116" s="9" t="s">
        <v>74</v>
      </c>
    </row>
    <row r="117" spans="1:5" ht="55.65" customHeight="1" x14ac:dyDescent="0.25">
      <c r="A117" s="295"/>
      <c r="B117" s="6" t="s">
        <v>90</v>
      </c>
      <c r="C117" s="289" t="s">
        <v>261</v>
      </c>
      <c r="D117" s="290"/>
      <c r="E117" s="9" t="s">
        <v>92</v>
      </c>
    </row>
    <row r="118" spans="1:5" ht="41.1" customHeight="1" x14ac:dyDescent="0.25">
      <c r="A118" s="295"/>
      <c r="B118" s="6" t="s">
        <v>64</v>
      </c>
      <c r="C118" s="7" t="s">
        <v>260</v>
      </c>
      <c r="D118" s="7" t="s">
        <v>259</v>
      </c>
      <c r="E118" s="9" t="s">
        <v>74</v>
      </c>
    </row>
    <row r="119" spans="1:5" ht="63" customHeight="1" x14ac:dyDescent="0.25">
      <c r="A119" s="294" t="s">
        <v>262</v>
      </c>
      <c r="B119" s="6" t="s">
        <v>94</v>
      </c>
      <c r="C119" s="7" t="s">
        <v>263</v>
      </c>
      <c r="D119" s="7" t="s">
        <v>264</v>
      </c>
      <c r="E119" s="9" t="s">
        <v>116</v>
      </c>
    </row>
    <row r="120" spans="1:5" ht="47.85" customHeight="1" x14ac:dyDescent="0.25">
      <c r="A120" s="294"/>
      <c r="B120" s="6" t="s">
        <v>69</v>
      </c>
      <c r="C120" s="7" t="s">
        <v>263</v>
      </c>
      <c r="D120" s="10" t="s">
        <v>55</v>
      </c>
      <c r="E120" s="9" t="s">
        <v>99</v>
      </c>
    </row>
    <row r="121" spans="1:5" ht="35.25" customHeight="1" x14ac:dyDescent="0.25">
      <c r="A121" s="294"/>
      <c r="B121" s="6" t="s">
        <v>51</v>
      </c>
      <c r="C121" s="291" t="s">
        <v>265</v>
      </c>
      <c r="D121" s="292"/>
      <c r="E121" s="9" t="s">
        <v>74</v>
      </c>
    </row>
    <row r="122" spans="1:5" ht="35.25" customHeight="1" x14ac:dyDescent="0.25">
      <c r="A122" s="294"/>
      <c r="B122" s="6" t="s">
        <v>54</v>
      </c>
      <c r="C122" s="10" t="s">
        <v>55</v>
      </c>
      <c r="D122" s="224" t="s">
        <v>266</v>
      </c>
      <c r="E122" s="9"/>
    </row>
    <row r="123" spans="1:5" ht="35.25" customHeight="1" x14ac:dyDescent="0.25">
      <c r="A123" s="294"/>
      <c r="B123" s="6" t="s">
        <v>77</v>
      </c>
      <c r="C123" s="7" t="s">
        <v>267</v>
      </c>
      <c r="D123" s="7" t="s">
        <v>268</v>
      </c>
      <c r="E123" s="13" t="s">
        <v>116</v>
      </c>
    </row>
    <row r="124" spans="1:5" ht="61.5" customHeight="1" x14ac:dyDescent="0.25">
      <c r="A124" s="294"/>
      <c r="B124" s="6" t="s">
        <v>90</v>
      </c>
      <c r="C124" s="291" t="s">
        <v>269</v>
      </c>
      <c r="D124" s="292"/>
      <c r="E124" s="9" t="s">
        <v>92</v>
      </c>
    </row>
    <row r="125" spans="1:5" ht="67.5" customHeight="1" x14ac:dyDescent="0.25">
      <c r="A125" s="294" t="s">
        <v>270</v>
      </c>
      <c r="B125" s="6" t="s">
        <v>94</v>
      </c>
      <c r="C125" s="7" t="s">
        <v>271</v>
      </c>
      <c r="D125" s="7" t="s">
        <v>272</v>
      </c>
      <c r="E125" s="13" t="s">
        <v>135</v>
      </c>
    </row>
    <row r="126" spans="1:5" ht="67.5" customHeight="1" x14ac:dyDescent="0.25">
      <c r="A126" s="294"/>
      <c r="B126" s="6" t="s">
        <v>69</v>
      </c>
      <c r="C126" s="7" t="s">
        <v>271</v>
      </c>
      <c r="D126" s="10" t="s">
        <v>55</v>
      </c>
      <c r="E126" s="9" t="s">
        <v>99</v>
      </c>
    </row>
    <row r="127" spans="1:5" ht="46.5" customHeight="1" x14ac:dyDescent="0.25">
      <c r="A127" s="294"/>
      <c r="B127" s="6" t="s">
        <v>77</v>
      </c>
      <c r="C127" s="7" t="s">
        <v>273</v>
      </c>
      <c r="D127" s="7" t="s">
        <v>274</v>
      </c>
      <c r="E127" s="13" t="s">
        <v>92</v>
      </c>
    </row>
    <row r="128" spans="1:5" ht="40.35" customHeight="1" x14ac:dyDescent="0.25">
      <c r="A128" s="294"/>
      <c r="B128" s="6" t="s">
        <v>102</v>
      </c>
      <c r="C128" s="283" t="s">
        <v>275</v>
      </c>
      <c r="D128" s="284"/>
      <c r="E128" s="13" t="s">
        <v>258</v>
      </c>
    </row>
    <row r="129" spans="1:5" ht="52.5" customHeight="1" x14ac:dyDescent="0.25">
      <c r="A129" s="296" t="s">
        <v>276</v>
      </c>
      <c r="B129" s="6" t="s">
        <v>94</v>
      </c>
      <c r="C129" s="7" t="s">
        <v>277</v>
      </c>
      <c r="D129" s="7" t="s">
        <v>278</v>
      </c>
      <c r="E129" s="9" t="s">
        <v>116</v>
      </c>
    </row>
    <row r="130" spans="1:5" ht="52.5" customHeight="1" x14ac:dyDescent="0.25">
      <c r="A130" s="297"/>
      <c r="B130" s="6" t="s">
        <v>69</v>
      </c>
      <c r="C130" s="7" t="s">
        <v>277</v>
      </c>
      <c r="D130" s="15" t="s">
        <v>55</v>
      </c>
      <c r="E130" s="9" t="s">
        <v>99</v>
      </c>
    </row>
    <row r="131" spans="1:5" ht="52.5" customHeight="1" x14ac:dyDescent="0.25">
      <c r="A131" s="297"/>
      <c r="B131" s="6" t="s">
        <v>54</v>
      </c>
      <c r="C131" s="15" t="s">
        <v>55</v>
      </c>
      <c r="D131" s="223" t="s">
        <v>279</v>
      </c>
      <c r="E131" s="13"/>
    </row>
    <row r="132" spans="1:5" ht="72" customHeight="1" x14ac:dyDescent="0.25">
      <c r="A132" s="297"/>
      <c r="B132" s="6" t="s">
        <v>77</v>
      </c>
      <c r="C132" s="7" t="s">
        <v>280</v>
      </c>
      <c r="D132" s="7" t="s">
        <v>281</v>
      </c>
      <c r="E132" s="13" t="s">
        <v>92</v>
      </c>
    </row>
    <row r="133" spans="1:5" ht="59.25" customHeight="1" x14ac:dyDescent="0.25">
      <c r="A133" s="297"/>
      <c r="B133" s="6" t="s">
        <v>90</v>
      </c>
      <c r="C133" s="285" t="s">
        <v>282</v>
      </c>
      <c r="D133" s="292"/>
      <c r="E133" s="13" t="s">
        <v>92</v>
      </c>
    </row>
    <row r="134" spans="1:5" ht="69.75" customHeight="1" x14ac:dyDescent="0.25">
      <c r="A134" s="294" t="s">
        <v>283</v>
      </c>
      <c r="B134" s="6" t="s">
        <v>94</v>
      </c>
      <c r="C134" s="283" t="s">
        <v>284</v>
      </c>
      <c r="D134" s="284"/>
      <c r="E134" s="13" t="s">
        <v>135</v>
      </c>
    </row>
    <row r="135" spans="1:5" ht="69.75" customHeight="1" x14ac:dyDescent="0.25">
      <c r="A135" s="294"/>
      <c r="B135" s="6" t="s">
        <v>69</v>
      </c>
      <c r="C135" s="7" t="s">
        <v>284</v>
      </c>
      <c r="D135" s="15" t="s">
        <v>55</v>
      </c>
      <c r="E135" s="9" t="s">
        <v>99</v>
      </c>
    </row>
    <row r="136" spans="1:5" ht="27" customHeight="1" x14ac:dyDescent="0.25">
      <c r="A136" s="294"/>
      <c r="B136" s="6" t="s">
        <v>77</v>
      </c>
      <c r="C136" s="7" t="s">
        <v>285</v>
      </c>
      <c r="D136" s="7" t="s">
        <v>286</v>
      </c>
      <c r="E136" s="13" t="s">
        <v>92</v>
      </c>
    </row>
    <row r="137" spans="1:5" ht="33.75" customHeight="1" x14ac:dyDescent="0.25">
      <c r="A137" s="104" t="s">
        <v>287</v>
      </c>
      <c r="B137" s="6" t="s">
        <v>77</v>
      </c>
      <c r="C137" s="7" t="s">
        <v>288</v>
      </c>
      <c r="D137" s="7" t="s">
        <v>289</v>
      </c>
      <c r="E137" s="13" t="s">
        <v>92</v>
      </c>
    </row>
    <row r="138" spans="1:5" ht="33.75" customHeight="1" x14ac:dyDescent="0.25">
      <c r="A138" s="278" t="s">
        <v>290</v>
      </c>
      <c r="B138" s="279" t="s">
        <v>102</v>
      </c>
      <c r="C138" s="306" t="s">
        <v>291</v>
      </c>
      <c r="D138" s="307"/>
      <c r="E138" s="280" t="s">
        <v>292</v>
      </c>
    </row>
    <row r="139" spans="1:5" ht="33.75" customHeight="1" x14ac:dyDescent="0.25">
      <c r="A139" s="293" t="s">
        <v>293</v>
      </c>
      <c r="B139" s="274" t="s">
        <v>51</v>
      </c>
      <c r="C139" s="304" t="s">
        <v>294</v>
      </c>
      <c r="D139" s="305"/>
      <c r="E139" s="275" t="s">
        <v>74</v>
      </c>
    </row>
    <row r="140" spans="1:5" ht="33.75" customHeight="1" x14ac:dyDescent="0.25">
      <c r="A140" s="293"/>
      <c r="B140" s="274" t="s">
        <v>54</v>
      </c>
      <c r="C140" s="276" t="s">
        <v>55</v>
      </c>
      <c r="D140" s="277" t="s">
        <v>295</v>
      </c>
      <c r="E140" s="275" t="s">
        <v>76</v>
      </c>
    </row>
  </sheetData>
  <sheetProtection algorithmName="SHA-512" hashValue="tv4jprxPmUrskZW4uvXOuqlU8j5WVSHxAAzMEPKeQxjmAVMov8CAPYTPsEQKYgt5lTMc4nVBqQ9XJ+t9Bd19bQ==" saltValue="ayJ8G2V5msNc41e4SCMLQg==" spinCount="100000" sheet="1" objects="1" scenarios="1"/>
  <autoFilter ref="A1:AMH140"/>
  <mergeCells count="71">
    <mergeCell ref="C9:D9"/>
    <mergeCell ref="C7:D7"/>
    <mergeCell ref="A4:A10"/>
    <mergeCell ref="C4:D4"/>
    <mergeCell ref="C8:D8"/>
    <mergeCell ref="C139:D139"/>
    <mergeCell ref="C128:D128"/>
    <mergeCell ref="C133:D133"/>
    <mergeCell ref="C138:D138"/>
    <mergeCell ref="C10:D10"/>
    <mergeCell ref="C71:D71"/>
    <mergeCell ref="C65:D65"/>
    <mergeCell ref="C68:D68"/>
    <mergeCell ref="C73:D73"/>
    <mergeCell ref="C121:D121"/>
    <mergeCell ref="C117:D117"/>
    <mergeCell ref="C98:D98"/>
    <mergeCell ref="C105:D105"/>
    <mergeCell ref="C108:D108"/>
    <mergeCell ref="C93:D93"/>
    <mergeCell ref="C35:D35"/>
    <mergeCell ref="A86:A94"/>
    <mergeCell ref="A63:A74"/>
    <mergeCell ref="A75:A82"/>
    <mergeCell ref="A83:A85"/>
    <mergeCell ref="C82:D82"/>
    <mergeCell ref="A41:A45"/>
    <mergeCell ref="A11:A18"/>
    <mergeCell ref="A19:A22"/>
    <mergeCell ref="A23:A31"/>
    <mergeCell ref="C16:D16"/>
    <mergeCell ref="C17:D17"/>
    <mergeCell ref="C20:D20"/>
    <mergeCell ref="C31:D31"/>
    <mergeCell ref="C30:D30"/>
    <mergeCell ref="C29:D29"/>
    <mergeCell ref="C21:D21"/>
    <mergeCell ref="C22:D22"/>
    <mergeCell ref="C26:D26"/>
    <mergeCell ref="C37:D37"/>
    <mergeCell ref="C38:D38"/>
    <mergeCell ref="A32:A40"/>
    <mergeCell ref="A46:A53"/>
    <mergeCell ref="A54:A62"/>
    <mergeCell ref="C72:D72"/>
    <mergeCell ref="C80:D80"/>
    <mergeCell ref="C53:D53"/>
    <mergeCell ref="C60:D60"/>
    <mergeCell ref="A139:A140"/>
    <mergeCell ref="A95:A99"/>
    <mergeCell ref="A111:A118"/>
    <mergeCell ref="A119:A124"/>
    <mergeCell ref="A125:A128"/>
    <mergeCell ref="A109:A110"/>
    <mergeCell ref="A100:A107"/>
    <mergeCell ref="A129:A133"/>
    <mergeCell ref="A134:A136"/>
    <mergeCell ref="C39:D39"/>
    <mergeCell ref="C57:D57"/>
    <mergeCell ref="C61:D61"/>
    <mergeCell ref="C134:D134"/>
    <mergeCell ref="C78:D78"/>
    <mergeCell ref="C81:D81"/>
    <mergeCell ref="C84:D84"/>
    <mergeCell ref="C114:D114"/>
    <mergeCell ref="C88:D88"/>
    <mergeCell ref="C91:D91"/>
    <mergeCell ref="C92:D92"/>
    <mergeCell ref="C45:D45"/>
    <mergeCell ref="C94:D94"/>
    <mergeCell ref="C124:D124"/>
  </mergeCells>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31"/>
  <sheetViews>
    <sheetView topLeftCell="A215" zoomScale="85" zoomScaleNormal="95" workbookViewId="0">
      <selection activeCell="B245" sqref="B245"/>
    </sheetView>
  </sheetViews>
  <sheetFormatPr baseColWidth="10" defaultColWidth="11.44140625" defaultRowHeight="15.6" x14ac:dyDescent="0.3"/>
  <cols>
    <col min="1" max="2" width="11.44140625" style="18"/>
    <col min="3" max="3" width="14.88671875" style="18" customWidth="1"/>
    <col min="4" max="14" width="11.44140625" style="18"/>
    <col min="15" max="15" width="20.6640625" style="18" customWidth="1"/>
    <col min="16" max="16384" width="11.44140625" style="18"/>
  </cols>
  <sheetData>
    <row r="1" spans="1:20" s="19" customFormat="1" ht="24.9" customHeight="1" x14ac:dyDescent="0.3">
      <c r="B1" s="316" t="s">
        <v>298</v>
      </c>
      <c r="C1" s="316"/>
      <c r="D1" s="316"/>
      <c r="E1" s="316"/>
      <c r="F1" s="316"/>
      <c r="G1" s="316"/>
      <c r="H1" s="316"/>
      <c r="I1" s="316"/>
      <c r="J1" s="316"/>
    </row>
    <row r="2" spans="1:20" ht="12.75" customHeight="1" x14ac:dyDescent="0.3">
      <c r="A2" s="20"/>
    </row>
    <row r="3" spans="1:20" ht="28.65" customHeight="1" x14ac:dyDescent="0.3">
      <c r="A3" s="108" t="s">
        <v>299</v>
      </c>
      <c r="B3" s="37"/>
      <c r="C3" s="37"/>
      <c r="D3" s="37"/>
      <c r="E3" s="37"/>
      <c r="F3" s="37"/>
      <c r="G3" s="37"/>
      <c r="H3" s="37"/>
    </row>
    <row r="4" spans="1:20" ht="21" x14ac:dyDescent="0.4">
      <c r="A4" s="322" t="s">
        <v>300</v>
      </c>
      <c r="B4" s="322"/>
      <c r="C4" s="322"/>
      <c r="D4" s="322"/>
      <c r="E4" s="322"/>
      <c r="F4" s="322"/>
      <c r="G4" s="322"/>
      <c r="H4" s="322"/>
      <c r="I4" s="322"/>
      <c r="J4" s="322"/>
      <c r="K4" s="322"/>
      <c r="L4" s="322"/>
      <c r="M4" s="322"/>
      <c r="N4" s="322"/>
      <c r="O4" s="322"/>
      <c r="P4" s="322"/>
      <c r="Q4" s="322"/>
      <c r="R4" s="322"/>
      <c r="S4" s="322"/>
      <c r="T4" s="322"/>
    </row>
    <row r="5" spans="1:20" ht="21" x14ac:dyDescent="0.4">
      <c r="A5" s="112" t="s">
        <v>28</v>
      </c>
      <c r="B5" s="112"/>
      <c r="C5" s="112"/>
      <c r="D5" s="113"/>
      <c r="E5" s="120">
        <f>'READ ME'!F35</f>
        <v>50</v>
      </c>
      <c r="F5" s="121" t="s">
        <v>29</v>
      </c>
      <c r="G5" s="121"/>
      <c r="H5" s="114"/>
      <c r="I5" s="114"/>
      <c r="J5" s="114"/>
      <c r="K5" s="114"/>
      <c r="L5" s="114"/>
      <c r="M5" s="114"/>
      <c r="N5" s="114"/>
      <c r="O5" s="114"/>
      <c r="P5" s="114"/>
      <c r="Q5" s="114"/>
      <c r="R5" s="114"/>
      <c r="S5" s="114"/>
      <c r="T5" s="114"/>
    </row>
    <row r="6" spans="1:20" ht="21" x14ac:dyDescent="0.4">
      <c r="A6" s="114"/>
      <c r="B6" s="114"/>
      <c r="C6" s="114"/>
      <c r="D6" s="114"/>
      <c r="E6" s="120"/>
      <c r="F6" s="114"/>
      <c r="G6" s="114"/>
      <c r="H6" s="114"/>
      <c r="I6" s="114"/>
      <c r="J6" s="114"/>
      <c r="K6" s="114"/>
      <c r="L6" s="114"/>
      <c r="M6" s="114"/>
      <c r="N6" s="114"/>
      <c r="O6" s="114"/>
      <c r="P6" s="114"/>
      <c r="Q6" s="114"/>
      <c r="R6" s="114"/>
      <c r="S6" s="114"/>
      <c r="T6" s="114"/>
    </row>
    <row r="7" spans="1:20" ht="21" x14ac:dyDescent="0.4">
      <c r="A7" s="112" t="s">
        <v>30</v>
      </c>
      <c r="B7" s="112"/>
      <c r="C7" s="112"/>
      <c r="D7" s="113"/>
      <c r="E7" s="120" t="str">
        <f>'READ ME'!F36</f>
        <v>NO</v>
      </c>
      <c r="F7" s="114"/>
      <c r="G7" s="114"/>
      <c r="H7" s="114"/>
      <c r="I7" s="114"/>
      <c r="J7" s="114"/>
      <c r="K7" s="114"/>
      <c r="L7" s="114"/>
      <c r="M7" s="114"/>
      <c r="N7" s="114"/>
      <c r="O7" s="114"/>
      <c r="P7" s="114"/>
      <c r="Q7" s="114"/>
      <c r="R7" s="114"/>
      <c r="S7" s="114"/>
      <c r="T7" s="114"/>
    </row>
    <row r="8" spans="1:20" ht="21" x14ac:dyDescent="0.4">
      <c r="A8" s="116" t="s">
        <v>32</v>
      </c>
      <c r="B8" s="116"/>
      <c r="C8" s="116"/>
      <c r="D8" s="116"/>
      <c r="E8" s="120" t="str">
        <f>'READ ME'!F37</f>
        <v>M</v>
      </c>
      <c r="F8" s="114"/>
      <c r="G8" s="114"/>
      <c r="H8" s="114"/>
      <c r="I8" s="114"/>
      <c r="J8" s="114"/>
      <c r="K8" s="114"/>
      <c r="L8" s="114"/>
      <c r="M8" s="114"/>
      <c r="N8" s="114"/>
      <c r="O8" s="114"/>
      <c r="P8" s="114"/>
      <c r="Q8" s="114"/>
      <c r="R8" s="114"/>
      <c r="S8" s="114"/>
      <c r="T8" s="114"/>
    </row>
    <row r="9" spans="1:20" ht="21" x14ac:dyDescent="0.4">
      <c r="A9" s="112" t="s">
        <v>301</v>
      </c>
      <c r="B9" s="112"/>
      <c r="C9" s="115"/>
      <c r="D9" s="115"/>
      <c r="E9" s="120">
        <f>'READ ME'!F38</f>
        <v>55</v>
      </c>
      <c r="F9" s="114"/>
      <c r="G9" s="114"/>
      <c r="H9" s="114"/>
      <c r="I9" s="114"/>
      <c r="J9" s="114"/>
      <c r="K9" s="114"/>
      <c r="L9" s="114"/>
      <c r="M9" s="114"/>
      <c r="N9" s="114"/>
      <c r="O9" s="114"/>
      <c r="P9" s="114"/>
      <c r="Q9" s="114"/>
      <c r="R9" s="114"/>
      <c r="S9" s="114"/>
      <c r="T9" s="114"/>
    </row>
    <row r="10" spans="1:20" ht="21" x14ac:dyDescent="0.4">
      <c r="A10" s="112" t="s">
        <v>302</v>
      </c>
      <c r="B10" s="112"/>
      <c r="C10" s="114"/>
      <c r="D10" s="114"/>
      <c r="E10" s="120">
        <f>'READ ME'!F39</f>
        <v>150</v>
      </c>
      <c r="F10" s="114"/>
      <c r="G10" s="114"/>
      <c r="H10" s="114"/>
      <c r="I10" s="114"/>
      <c r="J10" s="114"/>
      <c r="K10" s="114"/>
      <c r="L10" s="114"/>
      <c r="M10" s="114"/>
      <c r="N10" s="114"/>
      <c r="O10" s="114"/>
      <c r="P10" s="114"/>
      <c r="Q10" s="114"/>
      <c r="R10" s="114"/>
      <c r="S10" s="114"/>
      <c r="T10" s="114"/>
    </row>
    <row r="11" spans="1:20" ht="21" x14ac:dyDescent="0.4">
      <c r="A11" s="117"/>
      <c r="B11" s="117"/>
      <c r="E11" s="118"/>
      <c r="L11" s="202"/>
      <c r="M11" s="202"/>
      <c r="N11" s="202"/>
    </row>
    <row r="12" spans="1:20" ht="23.4" x14ac:dyDescent="0.45">
      <c r="A12" s="123" t="s">
        <v>303</v>
      </c>
      <c r="B12" s="119"/>
      <c r="C12" s="119"/>
      <c r="D12" s="48"/>
      <c r="E12" s="118"/>
      <c r="L12" s="202"/>
      <c r="M12" s="202"/>
      <c r="N12" s="202"/>
    </row>
    <row r="13" spans="1:20" x14ac:dyDescent="0.3">
      <c r="L13" s="202"/>
      <c r="M13" s="202"/>
      <c r="N13" s="202"/>
    </row>
    <row r="14" spans="1:20" x14ac:dyDescent="0.3">
      <c r="B14" s="37" t="s">
        <v>304</v>
      </c>
      <c r="C14" s="37"/>
      <c r="D14" s="37"/>
      <c r="E14" s="37"/>
      <c r="F14" s="37"/>
      <c r="G14" s="37" t="s">
        <v>305</v>
      </c>
      <c r="H14" s="37"/>
      <c r="I14" s="37"/>
      <c r="J14" s="37"/>
      <c r="K14" s="37"/>
      <c r="L14" s="203"/>
      <c r="M14" s="204"/>
      <c r="N14" s="204"/>
      <c r="O14" s="37" t="s">
        <v>306</v>
      </c>
      <c r="P14" s="37"/>
      <c r="Q14" s="37"/>
      <c r="R14" s="37"/>
    </row>
    <row r="15" spans="1:20" x14ac:dyDescent="0.3">
      <c r="B15" s="317" t="s">
        <v>307</v>
      </c>
      <c r="C15" s="317"/>
      <c r="D15" s="21" t="s">
        <v>308</v>
      </c>
      <c r="E15" s="21" t="s">
        <v>309</v>
      </c>
      <c r="G15" s="317" t="s">
        <v>310</v>
      </c>
      <c r="H15" s="317"/>
      <c r="I15" s="21" t="s">
        <v>308</v>
      </c>
      <c r="J15" s="21" t="s">
        <v>309</v>
      </c>
      <c r="L15" s="202"/>
      <c r="M15" s="205" t="s">
        <v>311</v>
      </c>
      <c r="N15" s="205" t="s">
        <v>33</v>
      </c>
      <c r="O15" s="309" t="s">
        <v>312</v>
      </c>
      <c r="P15" s="309"/>
      <c r="Q15" s="111" t="s">
        <v>308</v>
      </c>
      <c r="R15" s="111" t="s">
        <v>309</v>
      </c>
    </row>
    <row r="16" spans="1:20" x14ac:dyDescent="0.3">
      <c r="B16" s="317" t="s">
        <v>313</v>
      </c>
      <c r="C16" s="317"/>
      <c r="D16" s="22">
        <f>3.938425 + 0.7518199*$E$5*12 - 0.02023793*($E$5*12)^2 + 0.0002921682*($E$5*12)^3 - 0.00000206762*($E$5*12)^4 + 0.000000008469*($E$5*12)^5 - 0.00000000002188427*($E$5*12)^6 + 3.699776E-14*(E5*12)^7 - 4.099077E-17*(E5*12)^8 + 2.874804E-20*(E5*12)^9 - 1.159732E-23*(E5*12)^10 + 2.052602E-27*(E5*12)^11</f>
        <v>80.284656205129068</v>
      </c>
      <c r="E16" s="22">
        <f>3.932403 + 0.6866462*$E$5*12 - 0.01949911*($E$5*12)^2 + 0.00031311*($E$5*12)^3 - 0.000002466654*($E$5*12)^4 + 0.00000001113217*($E$5*12)^5 - 0.00000000003131402*($E$5*12)^6 + 5.693737E-14*(E5*12)^7 - 6.706947E-17*(E5*12)^8 + 4.947858E-20*(E5*12)^9 - 2.079251E-23*(E5*12)^10 + 3.800367E-27*(E5*12)^11</f>
        <v>66.026230499661324</v>
      </c>
      <c r="G16" s="317" t="s">
        <v>313</v>
      </c>
      <c r="H16" s="317"/>
      <c r="I16" s="122">
        <f>IF(E8="M",E9,D16)</f>
        <v>55</v>
      </c>
      <c r="J16" s="122">
        <f>IF(E8="F",E9,E16)</f>
        <v>66.026230499661324</v>
      </c>
      <c r="L16" s="202"/>
      <c r="M16" s="205" t="s">
        <v>31</v>
      </c>
      <c r="N16" s="205" t="s">
        <v>314</v>
      </c>
      <c r="O16" s="309" t="s">
        <v>313</v>
      </c>
      <c r="P16" s="309"/>
      <c r="Q16" s="137">
        <f>IF(E7="NO",D16,I16)</f>
        <v>80.284656205129068</v>
      </c>
      <c r="R16" s="137">
        <f>IF(E7="NO",E16,J16)</f>
        <v>66.026230499661324</v>
      </c>
    </row>
    <row r="17" spans="1:18" x14ac:dyDescent="0.3">
      <c r="B17" s="317" t="s">
        <v>315</v>
      </c>
      <c r="C17" s="317"/>
      <c r="D17" s="22">
        <f>64.35+0.8146*$E$5*12 - 0.0007474*($E$5*12)^2 - 0.000006322*($E$5*12)^3 + 0.00000001903*($E$5*12)^4 - 0.00000000001995*($E$5*12)^5 + 0.000000000000007297*($E$5*12)^6</f>
        <v>173.91883200000024</v>
      </c>
      <c r="E17" s="22">
        <f>57.63+1.083*$E$5*12 - 0.003679*($E$5*12)^2 + 0.000004633*($E$5*12)^3 - 0.000000000004226*($E$5*12)^5 + 0.000000000000002302*($E$5*12)^6</f>
        <v>162.50635199999994</v>
      </c>
      <c r="G17" s="317" t="s">
        <v>316</v>
      </c>
      <c r="H17" s="317"/>
      <c r="I17" s="122">
        <f>IF(E8="M",E10,D17)</f>
        <v>150</v>
      </c>
      <c r="J17" s="122">
        <f>IF(E8="F",E10,E17)</f>
        <v>162.50635199999994</v>
      </c>
      <c r="L17" s="202"/>
      <c r="M17" s="202"/>
      <c r="N17" s="202"/>
      <c r="O17" s="309" t="s">
        <v>315</v>
      </c>
      <c r="P17" s="309"/>
      <c r="Q17" s="137">
        <f>IF(E7="NO",D17,I17)</f>
        <v>173.91883200000024</v>
      </c>
      <c r="R17" s="137">
        <f>IF(E7="NO",E17,J17)</f>
        <v>162.50635199999994</v>
      </c>
    </row>
    <row r="18" spans="1:18" x14ac:dyDescent="0.3">
      <c r="B18" s="109"/>
      <c r="C18" s="109"/>
      <c r="D18" s="110"/>
      <c r="E18" s="110"/>
      <c r="G18" s="109"/>
      <c r="H18" s="109"/>
      <c r="I18" s="110"/>
      <c r="J18" s="110"/>
      <c r="L18" s="202"/>
      <c r="M18" s="202"/>
      <c r="N18" s="202"/>
    </row>
    <row r="19" spans="1:18" x14ac:dyDescent="0.3">
      <c r="B19" s="109"/>
      <c r="C19" s="109"/>
      <c r="D19" s="110"/>
      <c r="E19" s="110"/>
      <c r="G19" s="109"/>
      <c r="H19" s="109"/>
      <c r="I19" s="110"/>
      <c r="J19" s="110"/>
      <c r="L19" s="202"/>
      <c r="M19" s="202"/>
      <c r="N19" s="202"/>
    </row>
    <row r="20" spans="1:18" x14ac:dyDescent="0.3">
      <c r="G20" s="109"/>
      <c r="H20" s="109"/>
      <c r="I20" s="110"/>
      <c r="J20" s="110"/>
      <c r="L20" s="202"/>
      <c r="M20" s="202"/>
      <c r="N20" s="202"/>
    </row>
    <row r="21" spans="1:18" ht="18" x14ac:dyDescent="0.35">
      <c r="A21" s="318" t="s">
        <v>296</v>
      </c>
      <c r="B21" s="318"/>
      <c r="C21" s="318"/>
      <c r="D21" s="318"/>
      <c r="E21" s="318"/>
      <c r="H21" s="40" t="s">
        <v>317</v>
      </c>
      <c r="L21" s="202"/>
      <c r="M21" s="202"/>
      <c r="N21" s="202"/>
    </row>
    <row r="22" spans="1:18" x14ac:dyDescent="0.3">
      <c r="A22"/>
      <c r="B22"/>
      <c r="C22"/>
      <c r="G22" s="20"/>
      <c r="H22" s="20"/>
      <c r="I22" s="20"/>
      <c r="J22" s="20"/>
      <c r="K22" s="20"/>
    </row>
    <row r="23" spans="1:18" ht="15" customHeight="1" x14ac:dyDescent="0.3">
      <c r="A23"/>
      <c r="B23" s="319" t="s">
        <v>37</v>
      </c>
      <c r="C23" s="319"/>
      <c r="D23" s="23" t="s">
        <v>308</v>
      </c>
      <c r="E23" s="23" t="s">
        <v>309</v>
      </c>
      <c r="G23" s="20"/>
      <c r="H23" s="41"/>
      <c r="I23" s="149" t="s">
        <v>318</v>
      </c>
      <c r="J23" s="20"/>
      <c r="K23" s="20"/>
    </row>
    <row r="24" spans="1:18" ht="15" customHeight="1" x14ac:dyDescent="0.3">
      <c r="A24"/>
      <c r="B24" s="320" t="s">
        <v>62</v>
      </c>
      <c r="C24" s="320"/>
      <c r="D24" s="29">
        <f>EXP(-3.75+0.42*LN($Q$17)+0.52*LN($Q$16))</f>
        <v>2.0079375254909126</v>
      </c>
      <c r="E24" s="29">
        <f>EXP(-3.75+0.42*LN($R$17)+0.52*LN($R$16))</f>
        <v>1.7628437413460365</v>
      </c>
      <c r="G24" s="20"/>
      <c r="H24" s="20"/>
      <c r="I24" s="20"/>
      <c r="J24" s="20"/>
      <c r="K24" s="20"/>
    </row>
    <row r="25" spans="1:18" ht="15" customHeight="1" x14ac:dyDescent="0.3">
      <c r="A25"/>
      <c r="B25" s="320" t="s">
        <v>57</v>
      </c>
      <c r="C25" s="320"/>
      <c r="D25" s="24" t="s">
        <v>55</v>
      </c>
      <c r="E25" s="29">
        <f>($R$16^0.515 *  $R$17^0.422 * 235) / 10000</f>
        <v>1.7426458872670385</v>
      </c>
      <c r="G25" s="20"/>
      <c r="H25" s="42"/>
      <c r="I25" s="20" t="s">
        <v>319</v>
      </c>
      <c r="J25" s="20"/>
      <c r="K25" s="20"/>
    </row>
    <row r="26" spans="1:18" ht="15" customHeight="1" x14ac:dyDescent="0.3">
      <c r="A26"/>
      <c r="B26" s="320" t="s">
        <v>65</v>
      </c>
      <c r="C26" s="320"/>
      <c r="D26" s="29">
        <f>0.007184*$Q$16^0.425*$Q$17^0.725</f>
        <v>1.9502327741521963</v>
      </c>
      <c r="E26" s="29">
        <f>0.007184 * $R$16^0.425 * $R$17^0.725</f>
        <v>1.7085466259291462</v>
      </c>
      <c r="G26" s="20"/>
      <c r="H26" s="20"/>
      <c r="I26" s="20"/>
      <c r="J26" s="20"/>
      <c r="K26" s="20"/>
    </row>
    <row r="27" spans="1:18" ht="15" customHeight="1" x14ac:dyDescent="0.3">
      <c r="A27"/>
      <c r="B27" s="320" t="s">
        <v>51</v>
      </c>
      <c r="C27" s="320"/>
      <c r="D27" s="29">
        <f>($Q$16^0.515*$Q$17^0.422)*234.9/10000</f>
        <v>1.982417169926739</v>
      </c>
      <c r="E27" s="29">
        <f>($R$16^0.515 * $R$17^0.422) * 234.9 / 10000</f>
        <v>1.7419043358256481</v>
      </c>
      <c r="G27" s="20"/>
      <c r="H27" s="43"/>
      <c r="I27" s="20" t="s">
        <v>320</v>
      </c>
      <c r="J27" s="20"/>
      <c r="K27" s="20"/>
    </row>
    <row r="28" spans="1:18" ht="15" customHeight="1" x14ac:dyDescent="0.3">
      <c r="A28"/>
      <c r="B28" s="320" t="s">
        <v>64</v>
      </c>
      <c r="C28" s="320"/>
      <c r="D28" s="29">
        <f>EXP(-3.75 + 0.42 * LN($Q$17) + 0.52 * LN($Q$16) )</f>
        <v>2.0079375254909126</v>
      </c>
      <c r="E28" s="29">
        <f>EXP(-3.75 + 0.42 * LN($R$17) + 0.52 * LN($R$16) )</f>
        <v>1.7628437413460365</v>
      </c>
      <c r="G28" s="20"/>
      <c r="H28" s="20"/>
      <c r="I28" s="20"/>
      <c r="J28" s="20"/>
      <c r="K28" s="20"/>
    </row>
    <row r="29" spans="1:18" ht="15" customHeight="1" x14ac:dyDescent="0.3">
      <c r="A29"/>
      <c r="B29" s="320" t="s">
        <v>54</v>
      </c>
      <c r="C29" s="320"/>
      <c r="D29" s="24" t="s">
        <v>55</v>
      </c>
      <c r="E29" s="29">
        <f>$R$16^0.515 * $R$17^0.422 * 0.02349</f>
        <v>1.7419043358256481</v>
      </c>
      <c r="G29" s="20"/>
      <c r="H29" s="44"/>
      <c r="I29" s="20" t="s">
        <v>321</v>
      </c>
      <c r="J29" s="20"/>
      <c r="K29" s="20"/>
    </row>
    <row r="30" spans="1:18" ht="15" customHeight="1" x14ac:dyDescent="0.3">
      <c r="B30" s="320" t="s">
        <v>59</v>
      </c>
      <c r="C30" s="320"/>
      <c r="D30" s="29">
        <f>IF(E5&lt;18, 0.024265 * $Q$16^0.5378 * $Q$17^0.3964, SQRT($Q$16 * $Q$17/3600))</f>
        <v>1.9694199396098009</v>
      </c>
      <c r="E30" s="29">
        <f>IF($E$5 &lt; 18,  (0.024265*$R$16^0.5378) * ($R$17^0.3964), SQRT($R$16*$R$17/3600))</f>
        <v>1.7264029604620037</v>
      </c>
      <c r="G30" s="20"/>
      <c r="H30" s="20"/>
      <c r="I30" s="20"/>
      <c r="J30" s="20"/>
      <c r="K30" s="20"/>
    </row>
    <row r="31" spans="1:18" x14ac:dyDescent="0.3">
      <c r="G31" s="20"/>
      <c r="H31" s="45"/>
      <c r="I31" s="20" t="s">
        <v>322</v>
      </c>
      <c r="J31" s="20"/>
      <c r="K31" s="20"/>
    </row>
    <row r="34" spans="1:20" ht="17.399999999999999" customHeight="1" x14ac:dyDescent="0.35">
      <c r="A34" s="321" t="s">
        <v>68</v>
      </c>
      <c r="B34" s="321"/>
      <c r="C34" s="321"/>
      <c r="D34" s="321"/>
      <c r="E34" s="321"/>
    </row>
    <row r="36" spans="1:20" ht="15" customHeight="1" x14ac:dyDescent="0.3">
      <c r="B36" s="317" t="s">
        <v>37</v>
      </c>
      <c r="C36" s="317"/>
      <c r="D36" s="317"/>
      <c r="E36" s="329" t="s">
        <v>62</v>
      </c>
      <c r="F36" s="329"/>
      <c r="G36" s="328" t="s">
        <v>69</v>
      </c>
      <c r="H36" s="328"/>
      <c r="I36" s="328" t="s">
        <v>57</v>
      </c>
      <c r="J36" s="328"/>
      <c r="K36" s="328" t="s">
        <v>65</v>
      </c>
      <c r="L36" s="328"/>
      <c r="M36" s="328" t="s">
        <v>51</v>
      </c>
      <c r="N36" s="328"/>
      <c r="O36" s="328" t="s">
        <v>64</v>
      </c>
      <c r="P36" s="328"/>
      <c r="Q36" s="328" t="s">
        <v>54</v>
      </c>
      <c r="R36" s="328"/>
      <c r="S36" s="328" t="s">
        <v>77</v>
      </c>
      <c r="T36" s="328"/>
    </row>
    <row r="37" spans="1:20" x14ac:dyDescent="0.3">
      <c r="B37" s="324" t="s">
        <v>323</v>
      </c>
      <c r="C37" s="324"/>
      <c r="D37" s="324"/>
      <c r="E37" s="329"/>
      <c r="F37" s="329"/>
      <c r="G37" s="328"/>
      <c r="H37" s="328"/>
      <c r="I37" s="328"/>
      <c r="J37" s="328"/>
      <c r="K37" s="328"/>
      <c r="L37" s="328"/>
      <c r="M37" s="328"/>
      <c r="N37" s="328"/>
      <c r="O37" s="328"/>
      <c r="P37" s="328"/>
      <c r="Q37" s="328"/>
      <c r="R37" s="328"/>
      <c r="S37" s="328"/>
      <c r="T37" s="328"/>
    </row>
    <row r="38" spans="1:20" ht="15" customHeight="1" x14ac:dyDescent="0.3">
      <c r="B38" s="325" t="s">
        <v>62</v>
      </c>
      <c r="C38" s="325"/>
      <c r="D38" s="25" t="s">
        <v>308</v>
      </c>
      <c r="E38" s="311">
        <f>3.5 * $D$24 * 60</f>
        <v>421.66688035309164</v>
      </c>
      <c r="F38" s="311"/>
      <c r="G38" s="313">
        <f>IF($E$5&lt; 18, 0.012 * $E$5^3 - 1.2144 * $E$5^2 + 40.324 * $E$5 + 44.414, 325.7924)</f>
        <v>325.79239999999999</v>
      </c>
      <c r="H38" s="313"/>
      <c r="I38" s="314" t="s">
        <v>55</v>
      </c>
      <c r="J38" s="314"/>
      <c r="K38" s="330">
        <f>6.4837 - 1.59948 * $E$5 + 214.68572 *$D$24</f>
        <v>357.58521337503493</v>
      </c>
      <c r="L38" s="330"/>
      <c r="M38" s="315">
        <f>(0.2519 * $Q$16^0.7609) * 60</f>
        <v>425.22063008931713</v>
      </c>
      <c r="N38" s="315"/>
      <c r="O38" s="311">
        <f>3.5 * $D$24 * 60</f>
        <v>421.66688035309164</v>
      </c>
      <c r="P38" s="311"/>
      <c r="Q38" s="314" t="s">
        <v>55</v>
      </c>
      <c r="R38" s="314"/>
      <c r="S38" s="312">
        <f>IF($E$5&lt;=33.37, (6.642+(0.6-6.642)*EXP(-0.1323*$E$5))*60, (-0.000895*$E$5^2+0.0607*$E$5+5.54)*60)</f>
        <v>380.25</v>
      </c>
      <c r="T38" s="312"/>
    </row>
    <row r="39" spans="1:20" ht="15" customHeight="1" x14ac:dyDescent="0.3">
      <c r="B39" s="325"/>
      <c r="C39" s="325"/>
      <c r="D39" s="25" t="s">
        <v>309</v>
      </c>
      <c r="E39" s="311">
        <f>3.5 * $E$24 * 60</f>
        <v>370.19718568266762</v>
      </c>
      <c r="F39" s="311"/>
      <c r="G39" s="314" t="s">
        <v>55</v>
      </c>
      <c r="H39" s="314"/>
      <c r="I39" s="311">
        <f>3.5 * $E$24 * 60</f>
        <v>370.19718568266762</v>
      </c>
      <c r="J39" s="311"/>
      <c r="K39" s="327">
        <f>5.528076 - 2.834486 *$E$5 + 0.012591 *$E$5^2 + 204.262351 *$E$24 + 19.27429 *$E$24^2</f>
        <v>315.26101468132299</v>
      </c>
      <c r="L39" s="327"/>
      <c r="M39" s="310">
        <f>(0.2508 * $R$16^0.7815) * 60</f>
        <v>397.72897427083586</v>
      </c>
      <c r="N39" s="310"/>
      <c r="O39" s="311">
        <f>3.5 * $E$24 * 60</f>
        <v>370.19718568266762</v>
      </c>
      <c r="P39" s="311"/>
      <c r="Q39" s="310">
        <f>15.048 * $R$16^0.7609</f>
        <v>364.83884334384993</v>
      </c>
      <c r="R39" s="310"/>
      <c r="S39" s="312">
        <f>IF($E$5 &lt;= 16.027, (7.734 + (0.6 - 7.734) * EXP(-0.09747 *$E$5))*60, (0.000473 * $E$5^2 - 0.0782 * $E$5 + 7.37)*60 )</f>
        <v>278.55</v>
      </c>
      <c r="T39" s="312"/>
    </row>
    <row r="40" spans="1:20" ht="15" customHeight="1" x14ac:dyDescent="0.3">
      <c r="B40" s="323" t="s">
        <v>57</v>
      </c>
      <c r="C40" s="323"/>
      <c r="D40" s="25" t="s">
        <v>308</v>
      </c>
      <c r="E40" s="314" t="s">
        <v>55</v>
      </c>
      <c r="F40" s="314"/>
      <c r="G40" s="313">
        <f>IF($E$5&lt; 18, 0.012 * $E$5^3 - 1.2144 * $E$5^2 + 40.324 * $E$5 + 44.414, 325.7924)</f>
        <v>325.79239999999999</v>
      </c>
      <c r="H40" s="313"/>
      <c r="I40" s="314" t="s">
        <v>55</v>
      </c>
      <c r="J40" s="314"/>
      <c r="K40" s="314" t="s">
        <v>55</v>
      </c>
      <c r="L40" s="314"/>
      <c r="M40" s="315">
        <f>(0.2519 * $Q$16^0.7609) * 60</f>
        <v>425.22063008931713</v>
      </c>
      <c r="N40" s="315"/>
      <c r="O40" s="314" t="s">
        <v>55</v>
      </c>
      <c r="P40" s="314"/>
      <c r="Q40" s="314" t="s">
        <v>55</v>
      </c>
      <c r="R40" s="314"/>
      <c r="S40" s="312">
        <f>IF($E$5&lt;=33.37, (6.642+(0.6-6.642)*EXP(-0.1323*$E$5))*60, (-0.000895*$E$5^2+0.0607*$E$5+5.54)*60)</f>
        <v>380.25</v>
      </c>
      <c r="T40" s="312"/>
    </row>
    <row r="41" spans="1:20" ht="15" customHeight="1" x14ac:dyDescent="0.3">
      <c r="B41" s="323"/>
      <c r="C41" s="323"/>
      <c r="D41" s="25" t="s">
        <v>309</v>
      </c>
      <c r="E41" s="326" t="e">
        <f ca="1">AVERAGE(RESULTS_AGE!E257,RESULTS_AGE!I257:R257,RESULTS_AGE!E259,RESULTS_AGE!E261,RESULTS_AGE!E263,RESULTS_AGE!E265,RESULTS_AGE!E267,RESULTS_AGE!E269,RESULTS_AGE!I259:R259,RESULTS_AGE!K261:R261,RESULTS_AGE!I263:R263,RESULTS_AGE!I265:R265,RESULTS_AGE!I267:R267,RESULTS_AGE!I269:R269,RESULTS_AGE!A41:H258)</f>
        <v>#VALUE!</v>
      </c>
      <c r="F41" s="326"/>
      <c r="G41" s="314" t="s">
        <v>55</v>
      </c>
      <c r="H41" s="314"/>
      <c r="I41" s="311">
        <f>3.5 * $E$25 * 60</f>
        <v>365.95563632607809</v>
      </c>
      <c r="J41" s="311"/>
      <c r="K41" s="327">
        <f>5.528076 - 2.834486 *$E$5 + 0.012591 *$E$5^2 + 204.262351 *$E$25 + 19.27429 *$E$25^2</f>
        <v>309.77066887429567</v>
      </c>
      <c r="L41" s="327"/>
      <c r="M41" s="310">
        <f>(0.2508 * $R$16^0.7815) * 60</f>
        <v>397.72897427083586</v>
      </c>
      <c r="N41" s="310"/>
      <c r="O41" s="311">
        <f>3.5 * $E$25 * 60</f>
        <v>365.95563632607809</v>
      </c>
      <c r="P41" s="311"/>
      <c r="Q41" s="310">
        <f>15.048 * $R$16^0.7609</f>
        <v>364.83884334384993</v>
      </c>
      <c r="R41" s="310"/>
      <c r="S41" s="312">
        <f>IF($E$5 &lt;= 16.027, (7.734 + (0.6 - 7.734) * EXP(-0.09747 *$E$5))*60, (0.000473 * $E$5^2 - 0.0782 * $E$5 + 7.37)*60 )</f>
        <v>278.55</v>
      </c>
      <c r="T41" s="312"/>
    </row>
    <row r="42" spans="1:20" ht="15" customHeight="1" x14ac:dyDescent="0.3">
      <c r="B42" s="323" t="s">
        <v>65</v>
      </c>
      <c r="C42" s="323"/>
      <c r="D42" s="25" t="s">
        <v>308</v>
      </c>
      <c r="E42" s="311">
        <f>3.5 * $D$26 * 60</f>
        <v>409.5488825719612</v>
      </c>
      <c r="F42" s="311"/>
      <c r="G42" s="313">
        <f>IF($E$5&lt; 18, 0.012 * $E$5^3 - 1.2144 * $E$5^2 + 40.324 * $E$5 + 44.414, 325.7924)</f>
        <v>325.79239999999999</v>
      </c>
      <c r="H42" s="313"/>
      <c r="I42" s="314" t="s">
        <v>55</v>
      </c>
      <c r="J42" s="314"/>
      <c r="K42" s="330">
        <f>6.4837 - 1.59948 * $E$5 + 214.68572 *$D$26</f>
        <v>345.19682728646166</v>
      </c>
      <c r="L42" s="330"/>
      <c r="M42" s="315">
        <f>(0.2519 * $Q$16^0.7609) * 60</f>
        <v>425.22063008931713</v>
      </c>
      <c r="N42" s="315"/>
      <c r="O42" s="311">
        <f>3.5 * $D$26 * 60</f>
        <v>409.5488825719612</v>
      </c>
      <c r="P42" s="311"/>
      <c r="Q42" s="314" t="s">
        <v>55</v>
      </c>
      <c r="R42" s="314"/>
      <c r="S42" s="312">
        <f>IF($E$5&lt;=33.37, (6.642+(0.6-6.642)*EXP(-0.1323*$E$5))*60, (-0.000895*$E$5^2+0.0607*$E$5+5.54)*60)</f>
        <v>380.25</v>
      </c>
      <c r="T42" s="312"/>
    </row>
    <row r="43" spans="1:20" ht="15" customHeight="1" x14ac:dyDescent="0.3">
      <c r="B43" s="323"/>
      <c r="C43" s="323"/>
      <c r="D43" s="25" t="s">
        <v>309</v>
      </c>
      <c r="E43" s="311">
        <f>3.5 * $E$26 * 60</f>
        <v>358.79479144512067</v>
      </c>
      <c r="F43" s="311"/>
      <c r="G43" s="314" t="s">
        <v>55</v>
      </c>
      <c r="H43" s="314"/>
      <c r="I43" s="311">
        <f>3.5 * $E$26 * 60</f>
        <v>358.79479144512067</v>
      </c>
      <c r="J43" s="311"/>
      <c r="K43" s="327">
        <f>5.528076 - 2.834486 *$E$5 + 0.012591 *$E$5^2 + 204.262351 *$E$26 + 19.27429 *$E$26^2</f>
        <v>300.53721509105947</v>
      </c>
      <c r="L43" s="327"/>
      <c r="M43" s="310">
        <f>(0.2508 * $R$16^0.7815) * 60</f>
        <v>397.72897427083586</v>
      </c>
      <c r="N43" s="310"/>
      <c r="O43" s="311">
        <f>3.5 * $E$26 * 60</f>
        <v>358.79479144512067</v>
      </c>
      <c r="P43" s="311"/>
      <c r="Q43" s="310">
        <f>15.048 * $R$16^0.7609</f>
        <v>364.83884334384993</v>
      </c>
      <c r="R43" s="310"/>
      <c r="S43" s="312">
        <f>IF($E$5 &lt;= 16.027, (7.734 + (0.6 - 7.734) * EXP(-0.09747 *$E$5))*60, (0.000473 * $E$5^2 - 0.0782 * $E$5 + 7.37)*60 )</f>
        <v>278.55</v>
      </c>
      <c r="T43" s="312"/>
    </row>
    <row r="44" spans="1:20" ht="15" customHeight="1" x14ac:dyDescent="0.3">
      <c r="B44" s="323" t="s">
        <v>51</v>
      </c>
      <c r="C44" s="323"/>
      <c r="D44" s="25" t="s">
        <v>308</v>
      </c>
      <c r="E44" s="311">
        <f>3.5 * $D$27 * 60</f>
        <v>416.30760568461517</v>
      </c>
      <c r="F44" s="311"/>
      <c r="G44" s="313">
        <f>IF($E$5&lt; 18, 0.012 * $E$5^3 - 1.2144 * $E$5^2 + 40.324 * $E$5 + 44.414, 325.7924)</f>
        <v>325.79239999999999</v>
      </c>
      <c r="H44" s="313"/>
      <c r="I44" s="314" t="s">
        <v>55</v>
      </c>
      <c r="J44" s="314"/>
      <c r="K44" s="330">
        <f>6.4837 - 1.59948 * $E$5 + 214.68572 *$D$27</f>
        <v>352.10635746608432</v>
      </c>
      <c r="L44" s="330"/>
      <c r="M44" s="315">
        <f>(0.2519 * $Q$16^0.7609) * 60</f>
        <v>425.22063008931713</v>
      </c>
      <c r="N44" s="315"/>
      <c r="O44" s="311">
        <f>3.5 * $D$27 * 60</f>
        <v>416.30760568461517</v>
      </c>
      <c r="P44" s="311"/>
      <c r="Q44" s="314" t="s">
        <v>55</v>
      </c>
      <c r="R44" s="314"/>
      <c r="S44" s="312">
        <f>IF($E$5&lt;=33.37, (6.642+(0.6-6.642)*EXP(-0.1323*$E$5))*60, (-0.000895*$E$5^2+0.0607*$E$5+5.54)*60)</f>
        <v>380.25</v>
      </c>
      <c r="T44" s="312"/>
    </row>
    <row r="45" spans="1:20" ht="15" customHeight="1" x14ac:dyDescent="0.3">
      <c r="B45" s="323"/>
      <c r="C45" s="323"/>
      <c r="D45" s="25" t="s">
        <v>309</v>
      </c>
      <c r="E45" s="311">
        <f>3.5 * $E$27 * 60</f>
        <v>365.79991052338607</v>
      </c>
      <c r="F45" s="311"/>
      <c r="G45" s="314" t="s">
        <v>55</v>
      </c>
      <c r="H45" s="314"/>
      <c r="I45" s="311">
        <f>3.5 * $E$27 * 60</f>
        <v>365.79991052338607</v>
      </c>
      <c r="J45" s="311"/>
      <c r="K45" s="327">
        <f>5.528076 - 2.834486 *$E$5 + 0.012591 *$E$5^2 + 204.262351 *$E$27 + 19.27429 *$E$27^2</f>
        <v>309.56939358389951</v>
      </c>
      <c r="L45" s="327"/>
      <c r="M45" s="310">
        <f>(0.2508 * $R$16^0.7815) * 60</f>
        <v>397.72897427083586</v>
      </c>
      <c r="N45" s="310"/>
      <c r="O45" s="311">
        <f>3.5 * $E$27 * 60</f>
        <v>365.79991052338607</v>
      </c>
      <c r="P45" s="311"/>
      <c r="Q45" s="310">
        <f>15.048 * $R$16^0.7609</f>
        <v>364.83884334384993</v>
      </c>
      <c r="R45" s="310"/>
      <c r="S45" s="312">
        <f>IF($E$5 &lt;= 16.027, (7.734 + (0.6 - 7.734) * EXP(-0.09747 *$E$5))*60, (0.000473 * $E$5^2 - 0.0782 * $E$5 + 7.37)*60 )</f>
        <v>278.55</v>
      </c>
      <c r="T45" s="312"/>
    </row>
    <row r="46" spans="1:20" ht="15" customHeight="1" x14ac:dyDescent="0.3">
      <c r="B46" s="323" t="s">
        <v>64</v>
      </c>
      <c r="C46" s="323"/>
      <c r="D46" s="25" t="s">
        <v>308</v>
      </c>
      <c r="E46" s="311">
        <f>3.5 * $D$28 * 60</f>
        <v>421.66688035309164</v>
      </c>
      <c r="F46" s="311"/>
      <c r="G46" s="313">
        <f>IF($E$5&lt; 18, 0.012 * $E$5^3 - 1.2144 * $E$5^2 + 40.324 * $E$5 + 44.414, 325.7924)</f>
        <v>325.79239999999999</v>
      </c>
      <c r="H46" s="313"/>
      <c r="I46" s="314" t="s">
        <v>55</v>
      </c>
      <c r="J46" s="314"/>
      <c r="K46" s="330">
        <f>6.4837 - 1.59948 * $E$5 + 214.68572 *$D$28</f>
        <v>357.58521337503493</v>
      </c>
      <c r="L46" s="330"/>
      <c r="M46" s="315">
        <f>(0.2519 * $Q$16^0.7609) * 60</f>
        <v>425.22063008931713</v>
      </c>
      <c r="N46" s="315"/>
      <c r="O46" s="311">
        <f>3.5 * $D$28 * 60</f>
        <v>421.66688035309164</v>
      </c>
      <c r="P46" s="311"/>
      <c r="Q46" s="314" t="s">
        <v>55</v>
      </c>
      <c r="R46" s="314"/>
      <c r="S46" s="312">
        <f>IF($E$5&lt;=33.37, (6.642+(0.6-6.642)*EXP(-0.1323*$E$5))*60, (-0.000895*$E$5^2+0.0607*$E$5+5.54)*60)</f>
        <v>380.25</v>
      </c>
      <c r="T46" s="312"/>
    </row>
    <row r="47" spans="1:20" ht="15" customHeight="1" x14ac:dyDescent="0.3">
      <c r="B47" s="323"/>
      <c r="C47" s="323"/>
      <c r="D47" s="25" t="s">
        <v>309</v>
      </c>
      <c r="E47" s="311">
        <f>3.5 * $E$28 * 60</f>
        <v>370.19718568266762</v>
      </c>
      <c r="F47" s="311"/>
      <c r="G47" s="314" t="s">
        <v>55</v>
      </c>
      <c r="H47" s="314"/>
      <c r="I47" s="311">
        <f>3.5 * $E$28 * 60</f>
        <v>370.19718568266762</v>
      </c>
      <c r="J47" s="311"/>
      <c r="K47" s="327">
        <f>5.528076 - 2.834486 *$E$5 + 0.012591 *$E$5^2 + 204.262351 *$E$28 + 19.27429 *$E$28^2</f>
        <v>315.26101468132299</v>
      </c>
      <c r="L47" s="327"/>
      <c r="M47" s="310">
        <f>(0.2508 * $R$16^0.7815) * 60</f>
        <v>397.72897427083586</v>
      </c>
      <c r="N47" s="310"/>
      <c r="O47" s="311">
        <f>3.5 * $E$28 * 60</f>
        <v>370.19718568266762</v>
      </c>
      <c r="P47" s="311"/>
      <c r="Q47" s="310">
        <f>15.048 * $R$16^0.7609</f>
        <v>364.83884334384993</v>
      </c>
      <c r="R47" s="310"/>
      <c r="S47" s="312">
        <f>IF($E$5 &lt;= 16.027, (7.734 + (0.6 - 7.734) * EXP(-0.09747 *$E$5))*60, (0.000473 * $E$5^2 - 0.0782 * $E$5 + 7.37)*60 )</f>
        <v>278.55</v>
      </c>
      <c r="T47" s="312"/>
    </row>
    <row r="48" spans="1:20" ht="15" customHeight="1" x14ac:dyDescent="0.3">
      <c r="B48" s="323" t="s">
        <v>54</v>
      </c>
      <c r="C48" s="323"/>
      <c r="D48" s="25" t="s">
        <v>308</v>
      </c>
      <c r="E48" s="314" t="s">
        <v>55</v>
      </c>
      <c r="F48" s="314"/>
      <c r="G48" s="313">
        <f>IF($E$5&lt; 18, 0.012 * $E$5^3 - 1.2144 * $E$5^2 + 40.324 * $E$5 + 44.414, 325.7924)</f>
        <v>325.79239999999999</v>
      </c>
      <c r="H48" s="313"/>
      <c r="I48" s="314" t="s">
        <v>55</v>
      </c>
      <c r="J48" s="314"/>
      <c r="K48" s="314" t="s">
        <v>55</v>
      </c>
      <c r="L48" s="314"/>
      <c r="M48" s="315">
        <f>(0.2519 * $Q$16^0.7609) * 60</f>
        <v>425.22063008931713</v>
      </c>
      <c r="N48" s="315"/>
      <c r="O48" s="314" t="s">
        <v>55</v>
      </c>
      <c r="P48" s="314"/>
      <c r="Q48" s="314" t="s">
        <v>55</v>
      </c>
      <c r="R48" s="314"/>
      <c r="S48" s="312">
        <f>IF($E$5&lt;=33.37, (6.642+(0.6-6.642)*EXP(-0.1323*$E$5))*60, (-0.000895*$E$5^2+0.0607*$E$5+5.54)*60)</f>
        <v>380.25</v>
      </c>
      <c r="T48" s="312"/>
    </row>
    <row r="49" spans="1:25" ht="15" customHeight="1" x14ac:dyDescent="0.3">
      <c r="B49" s="323"/>
      <c r="C49" s="323"/>
      <c r="D49" s="25" t="s">
        <v>309</v>
      </c>
      <c r="E49" s="311">
        <f>3.5 *$E$29 * 60</f>
        <v>365.79991052338607</v>
      </c>
      <c r="F49" s="311"/>
      <c r="G49" s="314" t="s">
        <v>55</v>
      </c>
      <c r="H49" s="314"/>
      <c r="I49" s="311">
        <f>3.5 *$E$29 * 60</f>
        <v>365.79991052338607</v>
      </c>
      <c r="J49" s="311"/>
      <c r="K49" s="327">
        <f>5.528076 - 2.834486 *$E$5 + 0.012591 *$E$5^2 + 204.262351 *$E$29 + 19.27429 *$E$29^2</f>
        <v>309.56939358389951</v>
      </c>
      <c r="L49" s="327"/>
      <c r="M49" s="310">
        <f>(0.2508 * $R$16^0.7815) * 60</f>
        <v>397.72897427083586</v>
      </c>
      <c r="N49" s="310"/>
      <c r="O49" s="311">
        <f>3.5 *$E$29 * 60</f>
        <v>365.79991052338607</v>
      </c>
      <c r="P49" s="311"/>
      <c r="Q49" s="310">
        <f>15.048 * $R$16^0.7609</f>
        <v>364.83884334384993</v>
      </c>
      <c r="R49" s="310"/>
      <c r="S49" s="312">
        <f>IF($E$5 &lt;= 16.027, (7.734 + (0.6 - 7.734) * EXP(-0.09747 *$E$5))*60, (0.000473 * $E$5^2 - 0.0782 * $E$5 + 7.37)*60 )</f>
        <v>278.55</v>
      </c>
      <c r="T49" s="312"/>
    </row>
    <row r="50" spans="1:25" ht="15" customHeight="1" x14ac:dyDescent="0.3">
      <c r="B50" s="323" t="s">
        <v>59</v>
      </c>
      <c r="C50" s="323"/>
      <c r="D50" s="25" t="s">
        <v>308</v>
      </c>
      <c r="E50" s="311">
        <f>3.5 * $D$30 * 60</f>
        <v>413.57818731805821</v>
      </c>
      <c r="F50" s="311"/>
      <c r="G50" s="313">
        <f>IF($E$5&lt; 18, 0.012 * $E$5^3 - 1.2144 * $E$5^2 + 40.324 * $E$5 + 44.414, 325.7924)</f>
        <v>325.79239999999999</v>
      </c>
      <c r="H50" s="313"/>
      <c r="I50" s="314" t="s">
        <v>55</v>
      </c>
      <c r="J50" s="314"/>
      <c r="K50" s="330">
        <f>6.4837 - 1.59948 * $E$5 + 214.68572 *$D$30</f>
        <v>349.31603771748667</v>
      </c>
      <c r="L50" s="330"/>
      <c r="M50" s="315">
        <f>(0.2519 * $Q$16^0.7609) * 60</f>
        <v>425.22063008931713</v>
      </c>
      <c r="N50" s="315"/>
      <c r="O50" s="311">
        <f>3.5 * $D$30 * 60</f>
        <v>413.57818731805821</v>
      </c>
      <c r="P50" s="311"/>
      <c r="Q50" s="314" t="s">
        <v>55</v>
      </c>
      <c r="R50" s="314"/>
      <c r="S50" s="312">
        <f>IF($E$5&lt;=33.37, (6.642+(0.6-6.642)*EXP(-0.1323*$E$5))*60, (-0.000895*$E$5^2+0.0607*$E$5+5.54)*60)</f>
        <v>380.25</v>
      </c>
      <c r="T50" s="312"/>
    </row>
    <row r="51" spans="1:25" ht="15" customHeight="1" thickBot="1" x14ac:dyDescent="0.35">
      <c r="B51" s="323"/>
      <c r="C51" s="323"/>
      <c r="D51" s="25" t="s">
        <v>309</v>
      </c>
      <c r="E51" s="311">
        <f>3.5 * $E$30 * 60</f>
        <v>362.54462169702077</v>
      </c>
      <c r="F51" s="311"/>
      <c r="G51" s="314" t="s">
        <v>55</v>
      </c>
      <c r="H51" s="314"/>
      <c r="I51" s="311">
        <f>3.5 * $E$30 * 60</f>
        <v>362.54462169702077</v>
      </c>
      <c r="J51" s="311"/>
      <c r="K51" s="327">
        <f>5.528076 - 2.834486 *$E$5 + 0.012591 *$E$5^2 + 204.262351 *$E$30 + 19.27429 *$E$30^2</f>
        <v>305.36679227659755</v>
      </c>
      <c r="L51" s="327"/>
      <c r="M51" s="310">
        <f>(0.2508 * $R$16^0.7815) * 60</f>
        <v>397.72897427083586</v>
      </c>
      <c r="N51" s="310"/>
      <c r="O51" s="311">
        <f>3.5 * $E$30 * 60</f>
        <v>362.54462169702077</v>
      </c>
      <c r="P51" s="311"/>
      <c r="Q51" s="310">
        <f>15.048 * $R$16^0.7609</f>
        <v>364.83884334384993</v>
      </c>
      <c r="R51" s="310"/>
      <c r="S51" s="312">
        <f>IF($E$5 &lt;= 16.027, (7.734 + (0.6 - 7.734) * EXP(-0.09747 *$E$5))*60, (0.000473 * $E$5^2 - 0.0782 * $E$5 + 7.37)*60 )</f>
        <v>278.55</v>
      </c>
      <c r="T51" s="312"/>
    </row>
    <row r="52" spans="1:25" ht="15" customHeight="1" thickBot="1" x14ac:dyDescent="0.35">
      <c r="B52" s="129"/>
      <c r="C52" s="130"/>
      <c r="D52" s="131"/>
      <c r="E52" s="132"/>
      <c r="F52" s="132"/>
      <c r="G52" s="133"/>
      <c r="H52" s="133"/>
      <c r="I52" s="132"/>
      <c r="J52" s="132"/>
      <c r="K52" s="132"/>
      <c r="L52" s="132"/>
      <c r="M52" s="132"/>
      <c r="N52" s="132"/>
      <c r="O52" s="132"/>
      <c r="P52" s="132"/>
      <c r="Q52" s="132"/>
      <c r="R52" s="132"/>
      <c r="S52" s="134"/>
      <c r="T52" s="134"/>
      <c r="V52" s="355" t="s">
        <v>324</v>
      </c>
      <c r="W52" s="359" t="s">
        <v>325</v>
      </c>
      <c r="X52" s="360"/>
      <c r="Y52" s="361"/>
    </row>
    <row r="53" spans="1:25" s="105" customFormat="1" ht="16.2" thickTop="1" x14ac:dyDescent="0.3">
      <c r="B53" s="332" t="s">
        <v>326</v>
      </c>
      <c r="C53" s="333"/>
      <c r="D53" s="127"/>
      <c r="E53" s="128" t="s">
        <v>327</v>
      </c>
      <c r="F53" s="128" t="s">
        <v>328</v>
      </c>
      <c r="G53" s="128" t="s">
        <v>327</v>
      </c>
      <c r="H53" s="128" t="s">
        <v>328</v>
      </c>
      <c r="I53" s="128" t="s">
        <v>327</v>
      </c>
      <c r="J53" s="128" t="s">
        <v>328</v>
      </c>
      <c r="K53" s="128" t="s">
        <v>327</v>
      </c>
      <c r="L53" s="128" t="s">
        <v>328</v>
      </c>
      <c r="M53" s="128" t="s">
        <v>327</v>
      </c>
      <c r="N53" s="128" t="s">
        <v>328</v>
      </c>
      <c r="O53" s="128" t="s">
        <v>327</v>
      </c>
      <c r="P53" s="128" t="s">
        <v>328</v>
      </c>
      <c r="Q53" s="128" t="s">
        <v>327</v>
      </c>
      <c r="R53" s="128" t="s">
        <v>328</v>
      </c>
      <c r="S53" s="128" t="s">
        <v>327</v>
      </c>
      <c r="T53" s="128" t="s">
        <v>328</v>
      </c>
      <c r="V53" s="356"/>
      <c r="W53" s="140" t="s">
        <v>327</v>
      </c>
      <c r="X53" s="141" t="s">
        <v>328</v>
      </c>
      <c r="Y53" s="142" t="s">
        <v>329</v>
      </c>
    </row>
    <row r="54" spans="1:25" s="105" customFormat="1" x14ac:dyDescent="0.3">
      <c r="B54" s="332"/>
      <c r="C54" s="333"/>
      <c r="D54" s="23" t="s">
        <v>308</v>
      </c>
      <c r="E54" s="135">
        <f>AVERAGE(E38,E40,E42,E44,E46,E48,E50)</f>
        <v>416.55368725616353</v>
      </c>
      <c r="F54" s="135">
        <f>STDEV(E38,E40,E42,E44,E46,E48,E50)</f>
        <v>5.2504983567821908</v>
      </c>
      <c r="G54" s="135">
        <f>AVERAGE(G38,G40,G42,G44,G46,G48,G50)</f>
        <v>325.79239999999999</v>
      </c>
      <c r="H54" s="135">
        <f>STDEV(G38,G40,G42,G44,G46,G48,G50)</f>
        <v>0</v>
      </c>
      <c r="I54" s="135"/>
      <c r="J54" s="135"/>
      <c r="K54" s="135">
        <f>AVERAGE(K38,K40,K42,K44,K46,K48,K50)</f>
        <v>352.35792984402053</v>
      </c>
      <c r="L54" s="135">
        <f>STDEV(K38,K40,K42,K44,K46,K48,K50)</f>
        <v>5.3676524765933316</v>
      </c>
      <c r="M54" s="135">
        <f>AVERAGE(M38,M40,M42,M44,M46,M48,M50)</f>
        <v>425.22063008931713</v>
      </c>
      <c r="N54" s="135">
        <f>STDEV(M38,M40,M42,M44,M46,M48,M50)</f>
        <v>0</v>
      </c>
      <c r="O54" s="135">
        <f>AVERAGE(O38,O40,O42,O44,O46,O48,O50)</f>
        <v>416.55368725616353</v>
      </c>
      <c r="P54" s="135">
        <f>STDEV(O38,O40,O42,O44,O46,O48,O50)</f>
        <v>5.2504983567821908</v>
      </c>
      <c r="Q54" s="135"/>
      <c r="R54" s="135"/>
      <c r="S54" s="135">
        <f>AVERAGE(S38,S40,S42,S44,S46,S48,S50)</f>
        <v>380.25</v>
      </c>
      <c r="T54" s="135">
        <f>STDEV(S38,S40,S42,S44,S46,S48,S50)</f>
        <v>0</v>
      </c>
      <c r="V54" s="151" t="s">
        <v>330</v>
      </c>
      <c r="W54" s="143">
        <f>AVERAGE(E54,G54,K54,I54,M54,O54,Q54,S54)</f>
        <v>386.12138907427743</v>
      </c>
      <c r="X54" s="144">
        <f>STDEV(E54,G54,I54,K54,M54,O54,Q54,S54)</f>
        <v>40.484642779191397</v>
      </c>
      <c r="Y54" s="145">
        <f>(X54/W54)*100</f>
        <v>10.484952122505559</v>
      </c>
    </row>
    <row r="55" spans="1:25" s="105" customFormat="1" ht="16.2" thickBot="1" x14ac:dyDescent="0.35">
      <c r="B55" s="334"/>
      <c r="C55" s="335"/>
      <c r="D55" s="23" t="s">
        <v>309</v>
      </c>
      <c r="E55" s="135">
        <f>AVERAGE(E39,E43,E45,E47,E49,E51)</f>
        <v>365.55560092570818</v>
      </c>
      <c r="F55" s="135">
        <f>STDEV(E39,E43,E45,E47,E49,E51)</f>
        <v>4.4267941722989699</v>
      </c>
      <c r="G55" s="135"/>
      <c r="H55" s="135"/>
      <c r="I55" s="135">
        <f>AVERAGE(I39,I41,I43,I45,I47,I49,I51)</f>
        <v>365.61274884004672</v>
      </c>
      <c r="J55" s="135">
        <f>STDEV(I39,I41,I43,I45,I47,I49,I51)</f>
        <v>4.0439193107730071</v>
      </c>
      <c r="K55" s="135">
        <f>AVERAGE(K39,K41,K43,K45,K47,K49,K51)</f>
        <v>309.33364182462822</v>
      </c>
      <c r="L55" s="135">
        <f>STDEV(K39,K41,K43,K45,K47,K49,K51)</f>
        <v>5.223068494771665</v>
      </c>
      <c r="M55" s="135">
        <f>AVERAGE(M39,M41,M43,M45,M47,M49,M51)</f>
        <v>397.72897427083586</v>
      </c>
      <c r="N55" s="135">
        <f>STDEV(M39,M41,M43,M45,M47,M49,M51)</f>
        <v>0</v>
      </c>
      <c r="O55" s="135">
        <f>AVERAGE(O39,O41,O43,O45,O47,O49,O51)</f>
        <v>365.61274884004672</v>
      </c>
      <c r="P55" s="135">
        <f>STDEV(O39,O41,O43,O45,O47,O49,O51)</f>
        <v>4.0439193107730071</v>
      </c>
      <c r="Q55" s="135">
        <f>AVERAGE(Q39,Q41,Q43,Q45,Q47,Q49,Q51)</f>
        <v>364.83884334384993</v>
      </c>
      <c r="R55" s="135">
        <f>STDEV(Q39,Q41,Q43,Q45,Q47,Q49,Q51)</f>
        <v>0</v>
      </c>
      <c r="S55" s="135">
        <f>AVERAGE(S39,S41,S43,S45,S47,S49,S51)</f>
        <v>278.55</v>
      </c>
      <c r="T55" s="135">
        <f>STDEV(S39,S41,S43,S45,S47,S49,S51)</f>
        <v>0</v>
      </c>
      <c r="V55" s="152" t="s">
        <v>309</v>
      </c>
      <c r="W55" s="146">
        <f>AVERAGE(E55,G55,K55,I55,M55,O55,Q55,S55)</f>
        <v>349.60465114930224</v>
      </c>
      <c r="X55" s="147">
        <f>STDEV(E55,G55,I55,K55,M55,O55,Q55,S55)</f>
        <v>40.795220128150476</v>
      </c>
      <c r="Y55" s="148">
        <f>(X55/W55)*100</f>
        <v>11.668958062782883</v>
      </c>
    </row>
    <row r="57" spans="1:25" ht="17.399999999999999" customHeight="1" x14ac:dyDescent="0.35">
      <c r="A57" s="321" t="s">
        <v>86</v>
      </c>
      <c r="B57" s="321"/>
      <c r="C57" s="321"/>
      <c r="D57" s="321"/>
      <c r="E57" s="321"/>
    </row>
    <row r="59" spans="1:25" ht="15" customHeight="1" x14ac:dyDescent="0.3">
      <c r="B59" s="319" t="s">
        <v>37</v>
      </c>
      <c r="C59" s="319"/>
      <c r="D59" s="23" t="s">
        <v>308</v>
      </c>
      <c r="E59" s="23" t="s">
        <v>309</v>
      </c>
    </row>
    <row r="60" spans="1:25" ht="15" customHeight="1" x14ac:dyDescent="0.3">
      <c r="B60" s="320" t="s">
        <v>62</v>
      </c>
      <c r="C60" s="320"/>
      <c r="D60" s="33">
        <f>IF($E$5 &lt; 2, 0.359, (0.00000112815 * $E$5^3) - (0.000172362 * $E$5^2) + (0.00815264 * $E$5) + 0.327363 )</f>
        <v>0.44510874999999994</v>
      </c>
      <c r="E60" s="33">
        <f>IF($E$5 &lt; 2, 0.359, (0.00000112815 * $E$5^3) - (0.000172362 * $E$5^2) + (0.00815264 * $E$5) + 0.327363)</f>
        <v>0.44510874999999994</v>
      </c>
    </row>
    <row r="61" spans="1:25" ht="15" customHeight="1" x14ac:dyDescent="0.3">
      <c r="B61" s="320" t="s">
        <v>57</v>
      </c>
      <c r="C61" s="320"/>
      <c r="D61" s="24" t="s">
        <v>55</v>
      </c>
      <c r="E61" s="33">
        <f>IF($E$5 &lt; 1, 0.355109, 0.3475 + (0.07 * $E$5) / (8.2 + $E$5))</f>
        <v>0.40763745704467352</v>
      </c>
    </row>
    <row r="62" spans="1:25" ht="15" customHeight="1" x14ac:dyDescent="0.3">
      <c r="B62" s="320" t="s">
        <v>90</v>
      </c>
      <c r="C62" s="320"/>
      <c r="D62" s="33">
        <f>IF($E$5&lt;18,(-0.1*($E$5*365.25*24)^(0.00000000000966))-0.1*($E$5*365.25*24)^0.00000155+0.00000055*$E$5*365.25*24+0.58,0.47)</f>
        <v>0.47</v>
      </c>
      <c r="E62" s="33">
        <f>IF($E$5&lt;18,(-0.1*($E$5*365.25*24)^(0.00000000000966))-0.1*($E$5*365.25*24)^0.00000155+0.00000055*$E$5*365.25*24+0.58,0.47)</f>
        <v>0.47</v>
      </c>
    </row>
    <row r="63" spans="1:25" ht="15" customHeight="1" x14ac:dyDescent="0.3">
      <c r="B63" s="320" t="s">
        <v>64</v>
      </c>
      <c r="C63" s="320"/>
      <c r="D63" s="33">
        <f>IF($E$5 &lt; 2, 0.359, (0.00000112815 * $E$5^3) - (0.000172362 * $E$5^2) + (0.00815264 * $E$5) + 0.327363)</f>
        <v>0.44510874999999994</v>
      </c>
      <c r="E63" s="33">
        <f>IF($E$5 &lt; 2, 0.359, (0.00000112815 * $E$5^3) - (0.000172362 * $E$5^2) + (0.00815264 * $E$5) + 0.327363)</f>
        <v>0.44510874999999994</v>
      </c>
    </row>
    <row r="65" spans="1:20" x14ac:dyDescent="0.3">
      <c r="F65" s="20"/>
    </row>
    <row r="66" spans="1:20" ht="17.399999999999999" customHeight="1" x14ac:dyDescent="0.35">
      <c r="A66" s="321" t="s">
        <v>93</v>
      </c>
      <c r="B66" s="321"/>
      <c r="C66" s="321"/>
      <c r="D66" s="321"/>
      <c r="E66" s="321"/>
    </row>
    <row r="67" spans="1:20" x14ac:dyDescent="0.3">
      <c r="G67" s="1"/>
      <c r="H67" s="26"/>
      <c r="I67" s="26"/>
    </row>
    <row r="68" spans="1:20" ht="15" customHeight="1" x14ac:dyDescent="0.3">
      <c r="B68" s="320" t="s">
        <v>37</v>
      </c>
      <c r="C68" s="320"/>
      <c r="D68" s="320"/>
      <c r="E68" s="328" t="s">
        <v>62</v>
      </c>
      <c r="F68" s="328"/>
      <c r="G68" s="331" t="s">
        <v>69</v>
      </c>
      <c r="H68" s="331"/>
      <c r="I68" s="331" t="s">
        <v>57</v>
      </c>
      <c r="J68" s="331"/>
      <c r="K68" s="331" t="s">
        <v>64</v>
      </c>
      <c r="L68" s="331"/>
      <c r="M68" s="331" t="s">
        <v>102</v>
      </c>
      <c r="N68" s="331"/>
      <c r="O68" s="331" t="s">
        <v>94</v>
      </c>
      <c r="P68" s="331"/>
      <c r="Q68" s="331" t="s">
        <v>77</v>
      </c>
      <c r="R68" s="331"/>
      <c r="S68" s="331" t="s">
        <v>59</v>
      </c>
      <c r="T68" s="331"/>
    </row>
    <row r="69" spans="1:20" ht="15" customHeight="1" x14ac:dyDescent="0.3">
      <c r="B69" s="336" t="s">
        <v>323</v>
      </c>
      <c r="C69" s="336"/>
      <c r="D69" s="336"/>
      <c r="E69" s="328"/>
      <c r="F69" s="328"/>
      <c r="G69" s="331"/>
      <c r="H69" s="331"/>
      <c r="I69" s="331"/>
      <c r="J69" s="331"/>
      <c r="K69" s="331"/>
      <c r="L69" s="331"/>
      <c r="M69" s="331"/>
      <c r="N69" s="331"/>
      <c r="O69" s="331"/>
      <c r="P69" s="331"/>
      <c r="Q69" s="331"/>
      <c r="R69" s="331"/>
      <c r="S69" s="331"/>
      <c r="T69" s="331"/>
    </row>
    <row r="70" spans="1:20" ht="15" customHeight="1" x14ac:dyDescent="0.3">
      <c r="B70" s="323" t="s">
        <v>62</v>
      </c>
      <c r="C70" s="323"/>
      <c r="D70" s="25" t="s">
        <v>308</v>
      </c>
      <c r="E70" s="337">
        <f>(10^(1.2082*LOG10($D$24)+3.2869)/1000)</f>
        <v>4.4945145115292338</v>
      </c>
      <c r="F70" s="337"/>
      <c r="G70" s="338">
        <f>IF($E$5 &lt; 18, (-0.0623 * $E$5^5 + 2.4425 * $E$5^4 - 31.37 * $E$5^3 + 149.98 * $E$5^2 + 31.305 * $E$5 + 393.7) / 1000, 5.285)</f>
        <v>5.2850000000000001</v>
      </c>
      <c r="H70" s="338"/>
      <c r="I70" s="314" t="s">
        <v>55</v>
      </c>
      <c r="J70" s="314"/>
      <c r="K70" s="337">
        <f>(10^(1.2082*LOG10($D$24)+3.2869)/1000)</f>
        <v>4.4945145115292338</v>
      </c>
      <c r="L70" s="337"/>
      <c r="M70" s="339">
        <f>(0.0897 - 0.00000035 *$Q$16 + 0.000000000000654 * $Q$16^2) * $Q$16</f>
        <v>7.1992780309274904</v>
      </c>
      <c r="N70" s="339"/>
      <c r="O70" s="338">
        <f>IF($E$5 &lt; 18, (-0.0623 * $E$5^5 + 2.4425 * $E$5^4 - 31.37 * $E$5^3 + 149.98 * $E$5^2 + 31.305 * $E$5 + 393.7) / 1000, 5.285)</f>
        <v>5.2850000000000001</v>
      </c>
      <c r="P70" s="338"/>
      <c r="Q70" s="340">
        <f>IF($E$5&lt;=1,(-0.0273*$E$5+0.0771)*$Q$16,(0.0761+(0.0289-0.0761)*EXP(-0.592*$E$5))*$Q$16)</f>
        <v>6.1096623372097927</v>
      </c>
      <c r="R70" s="340"/>
      <c r="S70" s="341">
        <f>(3.33 * $D$24 - 0.81) / 1.06</f>
        <v>5.5438037357403198</v>
      </c>
      <c r="T70" s="341"/>
    </row>
    <row r="71" spans="1:20" ht="15" customHeight="1" x14ac:dyDescent="0.3">
      <c r="B71" s="323"/>
      <c r="C71" s="323"/>
      <c r="D71" s="25" t="s">
        <v>309</v>
      </c>
      <c r="E71" s="337">
        <f>(10^(1.2082*LOG10($E$24)+3.2869)/1000)</f>
        <v>3.8403918115735802</v>
      </c>
      <c r="F71" s="337"/>
      <c r="G71" s="314" t="s">
        <v>55</v>
      </c>
      <c r="H71" s="314"/>
      <c r="I71" s="337">
        <f>(10^(1.2082*LOG10($E$24)+3.2869)/1000)</f>
        <v>3.8403918115735802</v>
      </c>
      <c r="J71" s="337"/>
      <c r="K71" s="337">
        <f>(10^(1.2082*LOG10($E$24)+3.2869)/1000)</f>
        <v>3.8403918115735802</v>
      </c>
      <c r="L71" s="337"/>
      <c r="M71" s="339">
        <f>(0.0897 - 0.00000035 *$R$16 + 0.000000000000654 * $R$16^2) * $R$16</f>
        <v>5.9210272519763745</v>
      </c>
      <c r="N71" s="339"/>
      <c r="O71" s="312">
        <f>IF($E$5 &lt; 18, (0.0018 * $E$5^5 + 0.0959 * $E$5^4 - 4.4055 * $E$5^3 + 45.442 * $E$5^2 + 82.808 * $E$5 + 292.26) / 1000, 4.28)</f>
        <v>4.28</v>
      </c>
      <c r="P71" s="312"/>
      <c r="Q71" s="330">
        <f>IF($E$5 &lt;= 1, (-0.0273 * $E$5 + 0.0771) * $R$16, IF($E$5 &lt; 14.019723, (0.0000328 * $E$5^3 - 0.00121 * $E$5^2 + 0.0124 * $E$5 + 0.0386) * $R$16,0.065 * $R$16))</f>
        <v>4.2917049824779863</v>
      </c>
      <c r="R71" s="330"/>
      <c r="S71" s="337">
        <f>(2.66 * $E$24 - 0.46) / 1.06</f>
        <v>3.989777690547601</v>
      </c>
      <c r="T71" s="337"/>
    </row>
    <row r="72" spans="1:20" ht="15" customHeight="1" x14ac:dyDescent="0.3">
      <c r="B72" s="323" t="s">
        <v>57</v>
      </c>
      <c r="C72" s="323"/>
      <c r="D72" s="25" t="s">
        <v>308</v>
      </c>
      <c r="E72" s="314" t="s">
        <v>55</v>
      </c>
      <c r="F72" s="314"/>
      <c r="G72" s="338">
        <f>IF($E$5 &lt; 18, (-0.0623 * $E$5^5 + 2.4425 * $E$5^4 - 31.37 * $E$5^3 + 149.98 * $E$5^2 + 31.305 * $E$5 + 393.7) / 1000, 5.285)</f>
        <v>5.2850000000000001</v>
      </c>
      <c r="H72" s="338"/>
      <c r="I72" s="314" t="s">
        <v>55</v>
      </c>
      <c r="J72" s="314"/>
      <c r="K72" s="314" t="s">
        <v>55</v>
      </c>
      <c r="L72" s="314"/>
      <c r="M72" s="339">
        <f>(0.0897 - 0.00000035 *$Q$16 + 0.000000000000654 * $Q$16^2) * $Q$16</f>
        <v>7.1992780309274904</v>
      </c>
      <c r="N72" s="339"/>
      <c r="O72" s="338">
        <f>IF($E$5 &lt; 18, (-0.0623 * $E$5^5 + 2.4425 * $E$5^4 - 31.37 * $E$5^3 + 149.98 * $E$5^2 + 31.305 * $E$5 + 393.7) / 1000, 5.285)</f>
        <v>5.2850000000000001</v>
      </c>
      <c r="P72" s="338"/>
      <c r="Q72" s="340">
        <f>IF($E$5&lt;=1,(-0.0273*$E$5+0.0771)*$Q$16,(0.0761+(0.0289-0.0761)*EXP(-0.592*$E$5))*$Q$16)</f>
        <v>6.1096623372097927</v>
      </c>
      <c r="R72" s="340"/>
      <c r="S72" s="314" t="s">
        <v>55</v>
      </c>
      <c r="T72" s="314"/>
    </row>
    <row r="73" spans="1:20" ht="15" customHeight="1" x14ac:dyDescent="0.3">
      <c r="B73" s="323"/>
      <c r="C73" s="323"/>
      <c r="D73" s="25" t="s">
        <v>309</v>
      </c>
      <c r="E73" s="337">
        <f>(10^(1.2082*LOG10($E$25)+3.2869)/1000)</f>
        <v>3.7872928660088432</v>
      </c>
      <c r="F73" s="337"/>
      <c r="G73" s="314" t="s">
        <v>55</v>
      </c>
      <c r="H73" s="314"/>
      <c r="I73" s="337">
        <f>(10^(1.2082*LOG10($E$25)+3.2869)/1000)</f>
        <v>3.7872928660088432</v>
      </c>
      <c r="J73" s="337"/>
      <c r="K73" s="337">
        <f>(10^(1.2082*LOG10($E$25)+3.2869)/1000)</f>
        <v>3.7872928660088432</v>
      </c>
      <c r="L73" s="337"/>
      <c r="M73" s="339">
        <f>(0.0897 - 0.00000035 *$R$16 + 0.000000000000654 * $R$16^2) * $R$16</f>
        <v>5.9210272519763745</v>
      </c>
      <c r="N73" s="339"/>
      <c r="O73" s="312">
        <f>IF($E$5 &lt; 18, (0.0018 * $E$5^5 + 0.0959 * $E$5^4 - 4.4055 * $E$5^3 + 45.442 * $E$5^2 + 82.808 * $E$5 + 292.26) / 1000, 4.28)</f>
        <v>4.28</v>
      </c>
      <c r="P73" s="312"/>
      <c r="Q73" s="330">
        <f>IF($E$5 &lt;= 1, (-0.0273 * $E$5 + 0.0771) * $R$16, IF($E$5 &lt; 14.019723, (0.0000328 * $E$5^3 - 0.00121 * $E$5^2 + 0.0124 * $E$5 + 0.0386) * $R$16,0.065 * $R$16))</f>
        <v>4.2917049824779863</v>
      </c>
      <c r="R73" s="330"/>
      <c r="S73" s="337">
        <f>(2.66 * $E$25 - 0.46) / 1.06</f>
        <v>3.9390925095569078</v>
      </c>
      <c r="T73" s="337"/>
    </row>
    <row r="74" spans="1:20" ht="15" customHeight="1" x14ac:dyDescent="0.3">
      <c r="B74" s="323" t="s">
        <v>65</v>
      </c>
      <c r="C74" s="323"/>
      <c r="D74" s="25" t="s">
        <v>308</v>
      </c>
      <c r="E74" s="337">
        <f>(10^(1.2082*LOG10($D$26)+3.2869)/1000)</f>
        <v>4.3389280607552632</v>
      </c>
      <c r="F74" s="337"/>
      <c r="G74" s="338">
        <f>IF($E$5 &lt; 18, (-0.0623 * $E$5^5 + 2.4425 * $E$5^4 - 31.37 * $E$5^3 + 149.98 * $E$5^2 + 31.305 * $E$5 + 393.7) / 1000, 5.285)</f>
        <v>5.2850000000000001</v>
      </c>
      <c r="H74" s="338"/>
      <c r="I74" s="314" t="s">
        <v>55</v>
      </c>
      <c r="J74" s="314"/>
      <c r="K74" s="337">
        <f>(10^(1.2082*LOG10($D$26)+3.2869)/1000)</f>
        <v>4.3389280607552632</v>
      </c>
      <c r="L74" s="337"/>
      <c r="M74" s="339">
        <f>(0.0897 - 0.00000035 *$Q$16 + 0.000000000000654 * $Q$16^2) * $Q$16</f>
        <v>7.1992780309274904</v>
      </c>
      <c r="N74" s="339"/>
      <c r="O74" s="338">
        <f>IF($E$5 &lt; 18, (-0.0623 * $E$5^5 + 2.4425 * $E$5^4 - 31.37 * $E$5^3 + 149.98 * $E$5^2 + 31.305 * $E$5 + 393.7) / 1000, 5.285)</f>
        <v>5.2850000000000001</v>
      </c>
      <c r="P74" s="338"/>
      <c r="Q74" s="340">
        <f>IF($E$5&lt;=1,(-0.0273*$E$5+0.0771)*$Q$16,(0.0761+(0.0289-0.0761)*EXP(-0.592*$E$5))*$Q$16)</f>
        <v>6.1096623372097927</v>
      </c>
      <c r="R74" s="340"/>
      <c r="S74" s="341">
        <f>(3.33 * $D$26 - 0.81) / 1.06</f>
        <v>5.3625237150252962</v>
      </c>
      <c r="T74" s="341"/>
    </row>
    <row r="75" spans="1:20" ht="15" customHeight="1" x14ac:dyDescent="0.3">
      <c r="B75" s="323"/>
      <c r="C75" s="323"/>
      <c r="D75" s="25" t="s">
        <v>309</v>
      </c>
      <c r="E75" s="337">
        <f>(10^(1.2082*LOG10($E$26)+3.2869)/1000)</f>
        <v>3.6979389939016811</v>
      </c>
      <c r="F75" s="337"/>
      <c r="G75" s="314" t="s">
        <v>55</v>
      </c>
      <c r="H75" s="314"/>
      <c r="I75" s="337">
        <f>(10^(1.2082*LOG10($E$26)+3.2869)/1000)</f>
        <v>3.6979389939016811</v>
      </c>
      <c r="J75" s="337"/>
      <c r="K75" s="337">
        <f>(10^(1.2082*LOG10($E$26)+3.2869)/1000)</f>
        <v>3.6979389939016811</v>
      </c>
      <c r="L75" s="337"/>
      <c r="M75" s="339">
        <f>(0.0897 - 0.00000035 *$R$16 + 0.000000000000654 * $R$16^2) * $R$16</f>
        <v>5.9210272519763745</v>
      </c>
      <c r="N75" s="339"/>
      <c r="O75" s="312">
        <f>IF($E$5 &lt; 18, (0.0018 * $E$5^5 + 0.0959 * $E$5^4 - 4.4055 * $E$5^3 + 45.442 * $E$5^2 + 82.808 * $E$5 + 292.26) / 1000, 4.28)</f>
        <v>4.28</v>
      </c>
      <c r="P75" s="312"/>
      <c r="Q75" s="330">
        <f>IF($E$5 &lt;= 1, (-0.0273 * $E$5 + 0.0771) * $R$16, IF($E$5 &lt; 14.019723, (0.0000328 * $E$5^3 - 0.00121 * $E$5^2 + 0.0124 * $E$5 + 0.0386) * $R$16,0.065 * $R$16))</f>
        <v>4.2917049824779863</v>
      </c>
      <c r="R75" s="330"/>
      <c r="S75" s="337">
        <f>(2.66 * $E$26 - 0.46) / 1.06</f>
        <v>3.8535226650674801</v>
      </c>
      <c r="T75" s="337"/>
    </row>
    <row r="76" spans="1:20" ht="15" customHeight="1" x14ac:dyDescent="0.3">
      <c r="B76" s="323" t="s">
        <v>51</v>
      </c>
      <c r="C76" s="323"/>
      <c r="D76" s="25" t="s">
        <v>308</v>
      </c>
      <c r="E76" s="337">
        <f>(10^(1.2082*LOG10($D$27)+3.2869)/1000)</f>
        <v>4.4255888070477285</v>
      </c>
      <c r="F76" s="337"/>
      <c r="G76" s="338">
        <f>IF($E$5 &lt; 18, (-0.0623 * $E$5^5 + 2.4425 * $E$5^4 - 31.37 * $E$5^3 + 149.98 * $E$5^2 + 31.305 * $E$5 + 393.7) / 1000, 5.285)</f>
        <v>5.2850000000000001</v>
      </c>
      <c r="H76" s="338"/>
      <c r="I76" s="314" t="s">
        <v>55</v>
      </c>
      <c r="J76" s="314"/>
      <c r="K76" s="337">
        <f>(10^(1.2082*LOG10($D$27)+3.2869)/1000)</f>
        <v>4.4255888070477285</v>
      </c>
      <c r="L76" s="337"/>
      <c r="M76" s="339">
        <f>(0.0897 - 0.00000035 *$Q$16 + 0.000000000000654 * $Q$16^2) * $Q$16</f>
        <v>7.1992780309274904</v>
      </c>
      <c r="N76" s="339"/>
      <c r="O76" s="338">
        <f>IF($E$5 &lt; 18, (-0.0623 * $E$5^5 + 2.4425 * $E$5^4 - 31.37 * $E$5^3 + 149.98 * $E$5^2 + 31.305 * $E$5 + 393.7) / 1000, 5.285)</f>
        <v>5.2850000000000001</v>
      </c>
      <c r="P76" s="338"/>
      <c r="Q76" s="340">
        <f>IF($E$5&lt;=1,(-0.0273*$E$5+0.0771)*$Q$16,(0.0761+(0.0289-0.0761)*EXP(-0.592*$E$5))*$Q$16)</f>
        <v>6.1096623372097927</v>
      </c>
      <c r="R76" s="340"/>
      <c r="S76" s="341">
        <f>(3.33 * $D$27 - 0.81) / 1.06</f>
        <v>5.4636312979773969</v>
      </c>
      <c r="T76" s="341"/>
    </row>
    <row r="77" spans="1:20" ht="15" customHeight="1" x14ac:dyDescent="0.3">
      <c r="B77" s="323"/>
      <c r="C77" s="323"/>
      <c r="D77" s="25" t="s">
        <v>309</v>
      </c>
      <c r="E77" s="337">
        <f>(10^(1.2082*LOG10($E$27)+3.2869)/1000)</f>
        <v>3.7853458002559002</v>
      </c>
      <c r="F77" s="337"/>
      <c r="G77" s="314" t="s">
        <v>55</v>
      </c>
      <c r="H77" s="314"/>
      <c r="I77" s="337">
        <f>(10^(1.2082*LOG10($E$27)+3.2869)/1000)</f>
        <v>3.7853458002559002</v>
      </c>
      <c r="J77" s="337"/>
      <c r="K77" s="337">
        <f>(10^(1.2082*LOG10($E$27)+3.2869)/1000)</f>
        <v>3.7853458002559002</v>
      </c>
      <c r="L77" s="337"/>
      <c r="M77" s="339">
        <f>(0.0897 - 0.00000035 *$R$16 + 0.000000000000654 * $R$16^2) * $R$16</f>
        <v>5.9210272519763745</v>
      </c>
      <c r="N77" s="339"/>
      <c r="O77" s="312">
        <f>IF($E$5 &lt; 18, (0.0018 * $E$5^5 + 0.0959 * $E$5^4 - 4.4055 * $E$5^3 + 45.442 * $E$5^2 + 82.808 * $E$5 + 292.26) / 1000, 4.28)</f>
        <v>4.28</v>
      </c>
      <c r="P77" s="312"/>
      <c r="Q77" s="330">
        <f>IF($E$5 &lt;= 1, (-0.0273 * $E$5 + 0.0771) * $R$16, IF($E$5 &lt; 14.019723, (0.0000328 * $E$5^3 - 0.00121 * $E$5^2 + 0.0124 * $E$5 + 0.0386) * $R$16,0.065 * $R$16))</f>
        <v>4.2917049824779863</v>
      </c>
      <c r="R77" s="330"/>
      <c r="S77" s="337">
        <f>(2.66 * $E$27 - 0.46) / 1.06</f>
        <v>3.9372316351851171</v>
      </c>
      <c r="T77" s="337"/>
    </row>
    <row r="78" spans="1:20" ht="15" customHeight="1" x14ac:dyDescent="0.3">
      <c r="B78" s="323" t="s">
        <v>64</v>
      </c>
      <c r="C78" s="323"/>
      <c r="D78" s="25" t="s">
        <v>308</v>
      </c>
      <c r="E78" s="337">
        <f>(10^(1.2082*LOG10($D$28)+3.2869)/1000)</f>
        <v>4.4945145115292338</v>
      </c>
      <c r="F78" s="337"/>
      <c r="G78" s="338">
        <f>IF($E$5 &lt; 18, (-0.0623 * $E$5^5 + 2.4425 * $E$5^4 - 31.37 * $E$5^3 + 149.98 * $E$5^2 + 31.305 * $E$5 + 393.7) / 1000, 5.285)</f>
        <v>5.2850000000000001</v>
      </c>
      <c r="H78" s="338"/>
      <c r="I78" s="314" t="s">
        <v>55</v>
      </c>
      <c r="J78" s="314"/>
      <c r="K78" s="337">
        <f>(10^(1.2082*LOG10($D$28)+3.2869)/1000)</f>
        <v>4.4945145115292338</v>
      </c>
      <c r="L78" s="337"/>
      <c r="M78" s="339">
        <f>(0.0897 - 0.00000035 *$Q$16 + 0.000000000000654 * $Q$16^2) * $Q$16</f>
        <v>7.1992780309274904</v>
      </c>
      <c r="N78" s="339"/>
      <c r="O78" s="338">
        <f>IF($E$5 &lt; 18, (-0.0623 * $E$5^5 + 2.4425 * $E$5^4 - 31.37 * $E$5^3 + 149.98 * $E$5^2 + 31.305 * $E$5 + 393.7) / 1000, 5.285)</f>
        <v>5.2850000000000001</v>
      </c>
      <c r="P78" s="338"/>
      <c r="Q78" s="340">
        <f>IF($E$5&lt;=1,(-0.0273*$E$5+0.0771)*$Q$16,(0.0761+(0.0289-0.0761)*EXP(-0.592*$E$5))*$Q$16)</f>
        <v>6.1096623372097927</v>
      </c>
      <c r="R78" s="340"/>
      <c r="S78" s="341">
        <f>(3.33 * $D$28 - 0.81) / 1.06</f>
        <v>5.5438037357403198</v>
      </c>
      <c r="T78" s="341"/>
    </row>
    <row r="79" spans="1:20" ht="15" customHeight="1" x14ac:dyDescent="0.3">
      <c r="B79" s="323"/>
      <c r="C79" s="323"/>
      <c r="D79" s="25" t="s">
        <v>309</v>
      </c>
      <c r="E79" s="337">
        <f>(10^(1.2082*LOG10($E$28)+3.2869)/1000)</f>
        <v>3.8403918115735802</v>
      </c>
      <c r="F79" s="337"/>
      <c r="G79" s="314" t="s">
        <v>55</v>
      </c>
      <c r="H79" s="314"/>
      <c r="I79" s="337">
        <f>(10^(1.2082*LOG10($E$28)+3.2869)/1000)</f>
        <v>3.8403918115735802</v>
      </c>
      <c r="J79" s="337"/>
      <c r="K79" s="337">
        <f>(10^(1.2082*LOG10($E$28)+3.2869)/1000)</f>
        <v>3.8403918115735802</v>
      </c>
      <c r="L79" s="337"/>
      <c r="M79" s="339">
        <f>(0.0897 - 0.00000035 *$R$16 + 0.000000000000654 * $R$16^2) * $R$16</f>
        <v>5.9210272519763745</v>
      </c>
      <c r="N79" s="339"/>
      <c r="O79" s="312">
        <f>IF($E$5 &lt; 18, (0.0018 * $E$5^5 + 0.0959 * $E$5^4 - 4.4055 * $E$5^3 + 45.442 * $E$5^2 + 82.808 * $E$5 + 292.26) / 1000, 4.28)</f>
        <v>4.28</v>
      </c>
      <c r="P79" s="312"/>
      <c r="Q79" s="330">
        <f>IF($E$5 &lt;= 1, (-0.0273 * $E$5 + 0.0771) * $R$16, IF($E$5 &lt; 14.019723, (0.0000328 * $E$5^3 - 0.00121 * $E$5^2 + 0.0124 * $E$5 + 0.0386) * $R$16,0.065 * $R$16))</f>
        <v>4.2917049824779863</v>
      </c>
      <c r="R79" s="330"/>
      <c r="S79" s="337">
        <f>(2.66 * $E$28 - 0.46) / 1.06</f>
        <v>3.989777690547601</v>
      </c>
      <c r="T79" s="337"/>
    </row>
    <row r="80" spans="1:20" ht="15" customHeight="1" x14ac:dyDescent="0.3">
      <c r="B80" s="323" t="s">
        <v>54</v>
      </c>
      <c r="C80" s="323"/>
      <c r="D80" s="25" t="s">
        <v>308</v>
      </c>
      <c r="E80" s="314" t="s">
        <v>55</v>
      </c>
      <c r="F80" s="314"/>
      <c r="G80" s="338">
        <f>IF($E$5 &lt; 18, (-0.0623 * $E$5^5 + 2.4425 * $E$5^4 - 31.37 * $E$5^3 + 149.98 * $E$5^2 + 31.305 * $E$5 + 393.7) / 1000, 5.285)</f>
        <v>5.2850000000000001</v>
      </c>
      <c r="H80" s="338"/>
      <c r="I80" s="314" t="s">
        <v>55</v>
      </c>
      <c r="J80" s="314"/>
      <c r="K80" s="314" t="s">
        <v>55</v>
      </c>
      <c r="L80" s="314"/>
      <c r="M80" s="339">
        <f>(0.0897 - 0.00000035 *$Q$16 + 0.000000000000654 * $Q$16^2) * $Q$16</f>
        <v>7.1992780309274904</v>
      </c>
      <c r="N80" s="339"/>
      <c r="O80" s="338">
        <f>IF($E$5 &lt; 18, (-0.0623 * $E$5^5 + 2.4425 * $E$5^4 - 31.37 * $E$5^3 + 149.98 * $E$5^2 + 31.305 * $E$5 + 393.7) / 1000, 5.285)</f>
        <v>5.2850000000000001</v>
      </c>
      <c r="P80" s="338"/>
      <c r="Q80" s="340">
        <f>IF($E$5&lt;=1,(-0.0273*$E$5+0.0771)*$Q$16,(0.0761+(0.0289-0.0761)*EXP(-0.592*$E$5))*$Q$16)</f>
        <v>6.1096623372097927</v>
      </c>
      <c r="R80" s="340"/>
      <c r="S80" s="314" t="s">
        <v>55</v>
      </c>
      <c r="T80" s="314"/>
    </row>
    <row r="81" spans="1:25" ht="15" customHeight="1" x14ac:dyDescent="0.3">
      <c r="B81" s="323"/>
      <c r="C81" s="323"/>
      <c r="D81" s="25" t="s">
        <v>309</v>
      </c>
      <c r="E81" s="337">
        <f>(10^(1.2082*LOG10($E$29)+3.2869)/1000)</f>
        <v>3.7853458002559002</v>
      </c>
      <c r="F81" s="337"/>
      <c r="G81" s="314" t="s">
        <v>55</v>
      </c>
      <c r="H81" s="314"/>
      <c r="I81" s="337">
        <f>(10^(1.2082*LOG10($E$29)+3.2869)/1000)</f>
        <v>3.7853458002559002</v>
      </c>
      <c r="J81" s="337"/>
      <c r="K81" s="337">
        <f>(10^(1.2082*LOG10($E$29)+3.2869)/1000)</f>
        <v>3.7853458002559002</v>
      </c>
      <c r="L81" s="337"/>
      <c r="M81" s="339">
        <f>(0.0897 - 0.00000035 *$R$16 + 0.000000000000654 * $R$16^2) * $R$16</f>
        <v>5.9210272519763745</v>
      </c>
      <c r="N81" s="339"/>
      <c r="O81" s="312">
        <f>IF($E$5 &lt; 18, (0.0018 * $E$5^5 + 0.0959 * $E$5^4 - 4.4055 * $E$5^3 + 45.442 * $E$5^2 + 82.808 * $E$5 + 292.26) / 1000, 4.28)</f>
        <v>4.28</v>
      </c>
      <c r="P81" s="312"/>
      <c r="Q81" s="330">
        <f>IF($E$5 &lt;= 1, (-0.0273 * $E$5 + 0.0771) * $R$16, IF($E$5 &lt; 14.019723, (0.0000328 * $E$5^3 - 0.00121 * $E$5^2 + 0.0124 * $E$5 + 0.0386) * $R$16,0.065 * $R$16))</f>
        <v>4.2917049824779863</v>
      </c>
      <c r="R81" s="330"/>
      <c r="S81" s="337">
        <f>(2.66 * $E$29 - 0.46) / 1.06</f>
        <v>3.9372316351851171</v>
      </c>
      <c r="T81" s="337"/>
    </row>
    <row r="82" spans="1:25" ht="15" customHeight="1" x14ac:dyDescent="0.3">
      <c r="B82" s="323" t="s">
        <v>59</v>
      </c>
      <c r="C82" s="323"/>
      <c r="D82" s="25" t="s">
        <v>308</v>
      </c>
      <c r="E82" s="337">
        <f>(10^(1.2082*LOG10($D$30)+3.2869)/1000)</f>
        <v>4.390556508664937</v>
      </c>
      <c r="F82" s="337"/>
      <c r="G82" s="338">
        <f>IF($E$5 &lt; 18, (-0.0623 * $E$5^5 + 2.4425 * $E$5^4 - 31.37 * $E$5^3 + 149.98 * $E$5^2 + 31.305 * $E$5 + 393.7) / 1000, 5.285)</f>
        <v>5.2850000000000001</v>
      </c>
      <c r="H82" s="338"/>
      <c r="I82" s="314" t="s">
        <v>55</v>
      </c>
      <c r="J82" s="314"/>
      <c r="K82" s="337">
        <f>(10^(1.2082*LOG10($D$30)+3.2869)/1000)</f>
        <v>4.390556508664937</v>
      </c>
      <c r="L82" s="337"/>
      <c r="M82" s="339">
        <f>(0.0897 - 0.00000035 *$Q$16 + 0.000000000000654 * $Q$16^2) * $Q$16</f>
        <v>7.1992780309274904</v>
      </c>
      <c r="N82" s="339"/>
      <c r="O82" s="338">
        <f>IF($E$5 &lt; 18, (-0.0623 * $E$5^5 + 2.4425 * $E$5^4 - 31.37 * $E$5^3 + 149.98 * $E$5^2 + 31.305 * $E$5 + 393.7) / 1000, 5.285)</f>
        <v>5.2850000000000001</v>
      </c>
      <c r="P82" s="338"/>
      <c r="Q82" s="340">
        <f>IF($E$5&lt;=1,(-0.0273*$E$5+0.0771)*$Q$16,(0.0761+(0.0289-0.0761)*EXP(-0.592*$E$5))*$Q$16)</f>
        <v>6.1096623372097927</v>
      </c>
      <c r="R82" s="340"/>
      <c r="S82" s="341">
        <f>(3.33 * $D$30 - 0.81) / 1.06</f>
        <v>5.422800376321355</v>
      </c>
      <c r="T82" s="341"/>
    </row>
    <row r="83" spans="1:25" ht="15" customHeight="1" thickBot="1" x14ac:dyDescent="0.35">
      <c r="B83" s="323"/>
      <c r="C83" s="323"/>
      <c r="D83" s="25" t="s">
        <v>309</v>
      </c>
      <c r="E83" s="337">
        <f>(10^(1.2082*LOG10($E$30)+3.2869)/1000)</f>
        <v>3.7446839760265251</v>
      </c>
      <c r="F83" s="337"/>
      <c r="G83" s="314" t="s">
        <v>55</v>
      </c>
      <c r="H83" s="314"/>
      <c r="I83" s="337">
        <f>(10^(1.2082*LOG10($E$30)+3.2869)/1000)</f>
        <v>3.7446839760265251</v>
      </c>
      <c r="J83" s="337"/>
      <c r="K83" s="337">
        <f>(10^(1.2082*LOG10($E$30)+3.2869)/1000)</f>
        <v>3.7446839760265251</v>
      </c>
      <c r="L83" s="337"/>
      <c r="M83" s="339">
        <f>(0.0897 - 0.00000035 *$R$16 + 0.000000000000654 * $R$16^2) * $R$16</f>
        <v>5.9210272519763745</v>
      </c>
      <c r="N83" s="339"/>
      <c r="O83" s="312">
        <f>IF($E$5 &lt; 18, (0.0018 * $E$5^5 + 0.0959 * $E$5^4 - 4.4055 * $E$5^3 + 45.442 * $E$5^2 + 82.808 * $E$5 + 292.26) / 1000, 4.28)</f>
        <v>4.28</v>
      </c>
      <c r="P83" s="312"/>
      <c r="Q83" s="330">
        <f>IF($E$5 &lt;= 1, (-0.0273 * $E$5 + 0.0771) * $R$16, IF($E$5 &lt; 14.019723, (0.0000328 * $E$5^3 - 0.00121 * $E$5^2 + 0.0124 * $E$5 + 0.0386) * $R$16,0.065 * $R$16))</f>
        <v>4.2917049824779863</v>
      </c>
      <c r="R83" s="330"/>
      <c r="S83" s="337">
        <f>(2.66 * $E$30 - 0.46) / 1.06</f>
        <v>3.8983319573857829</v>
      </c>
      <c r="T83" s="337"/>
    </row>
    <row r="84" spans="1:25" ht="15" customHeight="1" thickBot="1" x14ac:dyDescent="0.35">
      <c r="B84" s="129"/>
      <c r="C84" s="130"/>
      <c r="D84" s="131"/>
      <c r="E84" s="132"/>
      <c r="F84" s="132"/>
      <c r="G84" s="133"/>
      <c r="H84" s="133"/>
      <c r="I84" s="132"/>
      <c r="J84" s="132"/>
      <c r="K84" s="132"/>
      <c r="L84" s="132"/>
      <c r="M84" s="132"/>
      <c r="N84" s="132"/>
      <c r="O84" s="132"/>
      <c r="P84" s="132"/>
      <c r="Q84" s="132"/>
      <c r="R84" s="132"/>
      <c r="S84" s="134"/>
      <c r="T84" s="134"/>
      <c r="V84" s="357" t="s">
        <v>331</v>
      </c>
      <c r="W84" s="359" t="s">
        <v>325</v>
      </c>
      <c r="X84" s="360"/>
      <c r="Y84" s="361"/>
    </row>
    <row r="85" spans="1:25" s="105" customFormat="1" ht="16.8" thickTop="1" thickBot="1" x14ac:dyDescent="0.35">
      <c r="B85" s="332" t="s">
        <v>326</v>
      </c>
      <c r="C85" s="333"/>
      <c r="D85" s="127"/>
      <c r="E85" s="128" t="s">
        <v>327</v>
      </c>
      <c r="F85" s="128" t="s">
        <v>328</v>
      </c>
      <c r="G85" s="128" t="s">
        <v>327</v>
      </c>
      <c r="H85" s="128" t="s">
        <v>328</v>
      </c>
      <c r="I85" s="128" t="s">
        <v>327</v>
      </c>
      <c r="J85" s="128" t="s">
        <v>328</v>
      </c>
      <c r="K85" s="128" t="s">
        <v>327</v>
      </c>
      <c r="L85" s="128" t="s">
        <v>328</v>
      </c>
      <c r="M85" s="128" t="s">
        <v>327</v>
      </c>
      <c r="N85" s="128" t="s">
        <v>328</v>
      </c>
      <c r="O85" s="128" t="s">
        <v>327</v>
      </c>
      <c r="P85" s="128" t="s">
        <v>328</v>
      </c>
      <c r="Q85" s="128" t="s">
        <v>327</v>
      </c>
      <c r="R85" s="128" t="s">
        <v>328</v>
      </c>
      <c r="S85" s="128" t="s">
        <v>327</v>
      </c>
      <c r="T85" s="128" t="s">
        <v>328</v>
      </c>
      <c r="V85" s="358"/>
      <c r="W85" s="153" t="s">
        <v>327</v>
      </c>
      <c r="X85" s="154" t="s">
        <v>328</v>
      </c>
      <c r="Y85" s="155" t="s">
        <v>329</v>
      </c>
    </row>
    <row r="86" spans="1:25" s="105" customFormat="1" x14ac:dyDescent="0.3">
      <c r="B86" s="332"/>
      <c r="C86" s="333"/>
      <c r="D86" s="23" t="s">
        <v>308</v>
      </c>
      <c r="E86" s="135">
        <f>AVERAGE(E70,E72,E74,E76,E78,E80,E82)</f>
        <v>4.4288204799052791</v>
      </c>
      <c r="F86" s="135">
        <f>STDEV(E70,E72,E74,E76,E78,E80,E82)</f>
        <v>6.7428914063627818E-2</v>
      </c>
      <c r="G86" s="135">
        <f>AVERAGE(G70,G72,G74,G76,G78,G80,G82)</f>
        <v>5.285000000000001</v>
      </c>
      <c r="H86" s="135">
        <f>STDEV(G70,G72,G74,G76,G78,G80,G82)</f>
        <v>9.5934233866636329E-16</v>
      </c>
      <c r="I86" s="135"/>
      <c r="J86" s="135"/>
      <c r="K86" s="135">
        <f>AVERAGE(K70,K72,K74,K76,K78,K80,K82)</f>
        <v>4.4288204799052791</v>
      </c>
      <c r="L86" s="135">
        <f>STDEV(K70,K72,K74,K76,K78,K80,K82)</f>
        <v>6.7428914063627818E-2</v>
      </c>
      <c r="M86" s="135">
        <f>AVERAGE(M70,M72,M74,M76,M78,M80,M82)</f>
        <v>7.1992780309274895</v>
      </c>
      <c r="N86" s="135">
        <f>STDEV(M70,M72,M74,M76,M78,M80,M82)</f>
        <v>9.5934233866636329E-16</v>
      </c>
      <c r="O86" s="135">
        <f>AVERAGE(O70,O72,O74,O76,O78,O80,O82)</f>
        <v>5.285000000000001</v>
      </c>
      <c r="P86" s="135">
        <f>STDEV(O70,O72,O74,O76,O78,O80,O82)</f>
        <v>9.5934233866636329E-16</v>
      </c>
      <c r="Q86" s="135"/>
      <c r="R86" s="135"/>
      <c r="S86" s="135">
        <f>AVERAGE(S70,S72,S74,S76,S78,S80,S82)</f>
        <v>5.467312572160937</v>
      </c>
      <c r="T86" s="135">
        <f>STDEV(S70,S72,S74,S76,S78,S80,S82)</f>
        <v>7.8545191051593397E-2</v>
      </c>
      <c r="V86" s="151" t="s">
        <v>330</v>
      </c>
      <c r="W86" s="143">
        <f>AVERAGE(E86,G86,K86,I86,M86,O86,Q86,S86)</f>
        <v>5.3490385938164984</v>
      </c>
      <c r="X86" s="144">
        <f>STDEV(E86,G86,I86,K86,M86,O86,Q86,S86)</f>
        <v>1.0138224051510021</v>
      </c>
      <c r="Y86" s="145">
        <f>(X86/W86)*100</f>
        <v>18.95335745610404</v>
      </c>
    </row>
    <row r="87" spans="1:25" s="105" customFormat="1" ht="16.2" thickBot="1" x14ac:dyDescent="0.35">
      <c r="B87" s="334"/>
      <c r="C87" s="335"/>
      <c r="D87" s="23" t="s">
        <v>309</v>
      </c>
      <c r="E87" s="135">
        <f>AVERAGE(E71,E73, E75,E77,E79,E81,E83)</f>
        <v>3.7830558656565727</v>
      </c>
      <c r="F87" s="135">
        <f>STDEV(E71,E73, E75,E77,E79,E81,E83)</f>
        <v>5.0531417508382456E-2</v>
      </c>
      <c r="G87" s="135"/>
      <c r="H87" s="135"/>
      <c r="I87" s="135">
        <f>AVERAGE(I71,I73,I75,I77,I79,I81,I83)</f>
        <v>3.7830558656565727</v>
      </c>
      <c r="J87" s="135">
        <f>STDEV(I71,I73,I75,I77,I79,I81,I83)</f>
        <v>5.0531417508382456E-2</v>
      </c>
      <c r="K87" s="135">
        <f>AVERAGE(K71,K73,K75,K77,K79,K81,K83)</f>
        <v>3.7830558656565727</v>
      </c>
      <c r="L87" s="135">
        <f>STDEV(K71,K73,K75,K77,K79,K81,K83)</f>
        <v>5.0531417508382456E-2</v>
      </c>
      <c r="M87" s="135">
        <f>AVERAGE(M71,M73,M75,M77,M79,M81,M83)</f>
        <v>5.9210272519763754</v>
      </c>
      <c r="N87" s="135">
        <f>STDEV(M71,M73,M75,M77,M79,M81,M83)</f>
        <v>9.5934233866636329E-16</v>
      </c>
      <c r="O87" s="135">
        <f>AVERAGE(O71,O73,O75,O77,O79,O81,O83)</f>
        <v>4.28</v>
      </c>
      <c r="P87" s="135">
        <f>STDEV(O71,O73,O75,O77,O79,O81,O83)</f>
        <v>0</v>
      </c>
      <c r="Q87" s="135">
        <f>AVERAGE(Q71,Q73,Q75,Q77,Q79,Q81,Q83)</f>
        <v>4.2917049824779872</v>
      </c>
      <c r="R87" s="135">
        <f>STDEV(Q71,Q73,Q75,Q77,Q79,Q81,Q83)</f>
        <v>9.5934233866636329E-16</v>
      </c>
      <c r="S87" s="135">
        <f>AVERAGE(S71,S73,S75,S77,S79,S81,S83)</f>
        <v>3.9349951119250868</v>
      </c>
      <c r="T87" s="135">
        <f>STDEV(S71,S73,S75,S77,S79,S81,S83)</f>
        <v>4.8323564090998264E-2</v>
      </c>
      <c r="V87" s="152" t="s">
        <v>309</v>
      </c>
      <c r="W87" s="146">
        <f>AVERAGE(E87,G87,K87,I87,M87,O87,Q87,S87)</f>
        <v>4.2538421347641675</v>
      </c>
      <c r="X87" s="147">
        <f>STDEV(E87,G87,I87,K87,M87,O87,Q87,S87)</f>
        <v>0.76900439982688817</v>
      </c>
      <c r="Y87" s="148">
        <f>(X87/W87)*100</f>
        <v>18.077878197271694</v>
      </c>
    </row>
    <row r="88" spans="1:25" customFormat="1" ht="13.2" x14ac:dyDescent="0.25"/>
    <row r="89" spans="1:25" customFormat="1" ht="13.2" x14ac:dyDescent="0.25"/>
    <row r="90" spans="1:25" customFormat="1" ht="17.399999999999999" customHeight="1" x14ac:dyDescent="0.35">
      <c r="A90" s="321" t="s">
        <v>113</v>
      </c>
      <c r="B90" s="321"/>
      <c r="C90" s="321"/>
      <c r="D90" s="321"/>
      <c r="E90" s="321"/>
    </row>
    <row r="91" spans="1:25" x14ac:dyDescent="0.3">
      <c r="C91" s="2"/>
      <c r="D91" s="26"/>
      <c r="E91" s="26"/>
    </row>
    <row r="92" spans="1:25" ht="15" customHeight="1" x14ac:dyDescent="0.3">
      <c r="B92" s="319" t="s">
        <v>37</v>
      </c>
      <c r="C92" s="319"/>
      <c r="D92" s="23" t="s">
        <v>308</v>
      </c>
      <c r="E92" s="23" t="s">
        <v>309</v>
      </c>
    </row>
    <row r="93" spans="1:25" ht="15" customHeight="1" x14ac:dyDescent="0.3">
      <c r="B93" s="320" t="s">
        <v>62</v>
      </c>
      <c r="C93" s="320"/>
      <c r="D93" s="33">
        <f>10 * ($E$5 + 0.315)/(9+6.92 * $E$5)</f>
        <v>1.4173239436619718</v>
      </c>
      <c r="E93" s="33">
        <f>10 * ($E$5 + 0.315)/(9+6.92 * $E$5)</f>
        <v>1.4173239436619718</v>
      </c>
    </row>
    <row r="94" spans="1:25" ht="15" customHeight="1" x14ac:dyDescent="0.3">
      <c r="B94" s="320" t="s">
        <v>69</v>
      </c>
      <c r="C94" s="320"/>
      <c r="D94" s="32">
        <f>IF($E$5 &lt; 18, 10 * ($E$5 + 0.213) / (6.03 + 6.895 * $E$5), 1.4)</f>
        <v>1.4</v>
      </c>
      <c r="E94" s="27" t="s">
        <v>55</v>
      </c>
    </row>
    <row r="95" spans="1:25" ht="15" customHeight="1" x14ac:dyDescent="0.3">
      <c r="B95" s="320" t="s">
        <v>90</v>
      </c>
      <c r="C95" s="320"/>
      <c r="D95" s="32">
        <f>IF($E$5 &lt; 18,  (-0.0503 * $E$5*365.25*24 + 0.907 *  ($E$5*365.25*24)^(0.769) + 0.0395) / 1000, 1.47)</f>
        <v>1.47</v>
      </c>
      <c r="E95" s="32">
        <f>IF($E$5 &lt; 18,  (-0.0503 * $E$5*365.25*24 + 0.907 *  ($E$5*365.25*24)^(0.769) + 0.0395) / 1000, 1.47)</f>
        <v>1.47</v>
      </c>
    </row>
    <row r="96" spans="1:25" ht="15" customHeight="1" x14ac:dyDescent="0.3">
      <c r="B96" s="320" t="s">
        <v>65</v>
      </c>
      <c r="C96" s="320"/>
      <c r="D96" s="34">
        <f>0.218096 - 0.00159 * $E$5 - 0.003274 * $Q$16 + 0.008626 *$Q$17</f>
        <v>1.3759678804164095</v>
      </c>
      <c r="E96" s="34">
        <f>0.3757397 - 0.0003031 * $E$5 - 0.0021962 * $R$16 + 0.0065721 * $R$17</f>
        <v>1.2835858885558433</v>
      </c>
    </row>
    <row r="97" spans="1:25" ht="15" customHeight="1" thickBot="1" x14ac:dyDescent="0.35">
      <c r="B97" s="320" t="s">
        <v>64</v>
      </c>
      <c r="C97" s="320"/>
      <c r="D97" s="33">
        <f>10 * ($E$5 + 0.315)/(9+6.92 * $E$5)</f>
        <v>1.4173239436619718</v>
      </c>
      <c r="E97" s="33">
        <f>10 * ($E$5 + 0.315)/(9+6.92 * $E$5)</f>
        <v>1.4173239436619718</v>
      </c>
    </row>
    <row r="98" spans="1:25" ht="15" customHeight="1" x14ac:dyDescent="0.3">
      <c r="B98" s="320" t="s">
        <v>102</v>
      </c>
      <c r="C98" s="320"/>
      <c r="D98" s="34">
        <f>(0.1216 - 0.000003456 * $Q$16*1000 + 0.00000000004354 * ($Q$16*1000)^2 - 0.0000000000000002463 * ($Q$16*1000)^3 + 5.132E-22 * ($Q$16*1000)^4) * $E$5</f>
        <v>0.93218588633997534</v>
      </c>
      <c r="E98" s="34">
        <f>(0.1216 - 0.000003456 * $R$16*1000 + 0.00000000004354 * ($R$16*1000)^2 - 0.0000000000000002463 * ($R$16*1000)^3 + 5.132E-22 * ($R$16*1000)^4) * $E$5</f>
        <v>1.104148525480704</v>
      </c>
      <c r="V98" s="357" t="s">
        <v>332</v>
      </c>
      <c r="W98" s="359" t="s">
        <v>325</v>
      </c>
      <c r="X98" s="360"/>
      <c r="Y98" s="361"/>
    </row>
    <row r="99" spans="1:25" ht="15" customHeight="1" thickBot="1" x14ac:dyDescent="0.35">
      <c r="B99" s="320" t="s">
        <v>94</v>
      </c>
      <c r="C99" s="320"/>
      <c r="D99" s="32">
        <f>IF($E$5 &lt; 18, 10 * ($E$5 + 0.213) / (6.03 + 6.895 * $E$5), 1.4)</f>
        <v>1.4</v>
      </c>
      <c r="E99" s="32">
        <f>IF($E$5 &lt; 18, 10 * ($E$5 + 0.226) / (6.521 + 7.514 * $E$5), 1.3)</f>
        <v>1.3</v>
      </c>
      <c r="V99" s="358"/>
      <c r="W99" s="153" t="s">
        <v>327</v>
      </c>
      <c r="X99" s="154" t="s">
        <v>328</v>
      </c>
      <c r="Y99" s="155" t="s">
        <v>329</v>
      </c>
    </row>
    <row r="100" spans="1:25" ht="15" customHeight="1" x14ac:dyDescent="0.3">
      <c r="B100" s="320" t="s">
        <v>77</v>
      </c>
      <c r="C100" s="320"/>
      <c r="D100" s="32">
        <f>1.45 + (0.35 - 1.45) * EXP(-0.44 * $E$5)</f>
        <v>1.4499999996931585</v>
      </c>
      <c r="E100" s="32">
        <f>1.3 + (0.347 - 1.3) * EXP(-0.573 * $E$5)</f>
        <v>1.2999999999996561</v>
      </c>
      <c r="V100" s="151" t="s">
        <v>330</v>
      </c>
      <c r="W100" s="143">
        <f>AVERAGE(D93:D101)</f>
        <v>1.3628019802833091</v>
      </c>
      <c r="X100" s="144">
        <f>STDEV(D93:D100)</f>
        <v>0.17452588229718491</v>
      </c>
      <c r="Y100" s="145">
        <f>(X100/W100)*100</f>
        <v>12.806400696666378</v>
      </c>
    </row>
    <row r="101" spans="1:25" ht="15" customHeight="1" thickBot="1" x14ac:dyDescent="0.35">
      <c r="B101" s="320" t="s">
        <v>59</v>
      </c>
      <c r="C101" s="320"/>
      <c r="D101" s="32">
        <f>(0.425 * ((3.68 - 2.68 * EXP(-$E$5/0.89)) * EXP(-$E$5/629))) / 1.03</f>
        <v>1.4024161687762948</v>
      </c>
      <c r="E101" s="32">
        <f>(0.373 * ((3.68 - 2.68 * EXP(-$E$5/0.89)) * EXP(-$E$5/629))) / 1.03</f>
        <v>1.2308264257730777</v>
      </c>
      <c r="V101" s="152" t="s">
        <v>309</v>
      </c>
      <c r="W101" s="146">
        <f>AVERAGE(E93:E101)</f>
        <v>1.3154010908916531</v>
      </c>
      <c r="X101" s="147">
        <f>STDEV(E93:E101)</f>
        <v>0.11828807040730364</v>
      </c>
      <c r="Y101" s="148">
        <f>(X101/W101)*100</f>
        <v>8.9925476895508201</v>
      </c>
    </row>
    <row r="104" spans="1:25" ht="17.399999999999999" customHeight="1" x14ac:dyDescent="0.35">
      <c r="A104" s="321" t="s">
        <v>132</v>
      </c>
      <c r="B104" s="321"/>
      <c r="C104" s="321"/>
      <c r="D104" s="321"/>
      <c r="E104" s="321"/>
    </row>
    <row r="106" spans="1:25" ht="15" customHeight="1" thickBot="1" x14ac:dyDescent="0.35">
      <c r="B106" s="319" t="s">
        <v>37</v>
      </c>
      <c r="C106" s="319"/>
      <c r="D106" s="23" t="s">
        <v>308</v>
      </c>
      <c r="E106" s="23" t="s">
        <v>309</v>
      </c>
    </row>
    <row r="107" spans="1:25" ht="15" customHeight="1" x14ac:dyDescent="0.3">
      <c r="B107" s="320" t="s">
        <v>69</v>
      </c>
      <c r="C107" s="320"/>
      <c r="D107" s="32">
        <f>IF($E$5 &lt; 18,  (-0.0306 * $E$5^5 + 0.5222 * $E$5^4 + 9.7109 * $E$5^3 - 197.97 * $E$5^2 + 1089.7 * $E$5 + 546.6) / 1000, 9.65)</f>
        <v>9.65</v>
      </c>
      <c r="E107" s="27" t="s">
        <v>55</v>
      </c>
      <c r="V107" s="357" t="s">
        <v>333</v>
      </c>
      <c r="W107" s="359" t="s">
        <v>325</v>
      </c>
      <c r="X107" s="360"/>
      <c r="Y107" s="361"/>
    </row>
    <row r="108" spans="1:25" ht="15" customHeight="1" thickBot="1" x14ac:dyDescent="0.35">
      <c r="B108" s="320" t="s">
        <v>90</v>
      </c>
      <c r="C108" s="320"/>
      <c r="D108" s="32">
        <f>IF($E$5 &lt; 18, (0.0597 * $E$5*365.25*24 + 0.907 * ($E$5*365.25*24)^(0.769) + 395) / 1000, 11.73)</f>
        <v>11.73</v>
      </c>
      <c r="E108" s="32">
        <f>IF($E$5 &lt; 18, (0.0597 * $E$5*365.25*24 + 0.907 * ($E$5*365.25*24)^(0.769) + 395) / 1000, 11.73)</f>
        <v>11.73</v>
      </c>
      <c r="V108" s="358"/>
      <c r="W108" s="153" t="s">
        <v>327</v>
      </c>
      <c r="X108" s="154" t="s">
        <v>328</v>
      </c>
      <c r="Y108" s="155" t="s">
        <v>329</v>
      </c>
    </row>
    <row r="109" spans="1:25" ht="15" customHeight="1" x14ac:dyDescent="0.3">
      <c r="B109" s="320" t="s">
        <v>94</v>
      </c>
      <c r="C109" s="320"/>
      <c r="D109" s="32">
        <f>IF($E$5 &lt; 18, (-0.0306 * $E$5^5 + 0.5222 * $E$5^4 + 9.7109 * $E$5^3 - 197.97 * $E$5^2 + 1089.7 * $E$5 + 546.6) / 1000, 9.65)</f>
        <v>9.65</v>
      </c>
      <c r="E109" s="32">
        <f>IF($E$5 &lt; 18, (-0.002831 * $E$5^5 - 0.18184 * $E$5^4 + 10.685 * $E$5^3 - 142.88 * $E$5^2 + 782.05 * $E$5 + 609.64) / 1000, 6.27)</f>
        <v>6.27</v>
      </c>
      <c r="V109" s="151" t="s">
        <v>330</v>
      </c>
      <c r="W109" s="143">
        <f>AVERAGE(D107:D110)</f>
        <v>9.9844538461538459</v>
      </c>
      <c r="X109" s="144">
        <f>STDEV(D107:D110)</f>
        <v>1.2151543801077558</v>
      </c>
      <c r="Y109" s="145">
        <f>(X109/W109)*100</f>
        <v>12.170464191948271</v>
      </c>
    </row>
    <row r="110" spans="1:25" ht="15" customHeight="1" thickBot="1" x14ac:dyDescent="0.35">
      <c r="B110" s="320" t="s">
        <v>59</v>
      </c>
      <c r="C110" s="320"/>
      <c r="D110" s="32">
        <f>IF($E$5 &lt; 50, (0.89983 + (2.9901 - 0.89989) / (1 + EXP(14.17081 - $E$5) / 1.58179)) / 0.65 / 0.5, (0.89983 + (2.9901 - 0.89989) / (1 + EXP(14.17081 - $E$5) / 1.58179) - (0.0019 * $E$5)) / 0.65 / 0.5)</f>
        <v>8.9078153846153825</v>
      </c>
      <c r="E110" s="32">
        <f>IF($E$5 &lt; 50, (0.74042 + (2.14976 - 0.74042) / (1 + EXP(12.35466 - $E$5) / 1.58179)) / 0.65 / 0.5,  (0.74042 + (2.14976 - 0.74042) / (1 + EXP(12.35466 - $E$5) / 1.58179) - (0.0056 * $E$5)) / 0.65 / 0.5)</f>
        <v>5.753107692307692</v>
      </c>
      <c r="V110" s="152" t="s">
        <v>309</v>
      </c>
      <c r="W110" s="146">
        <f>AVERAGE(E107:E110)</f>
        <v>7.9177025641025649</v>
      </c>
      <c r="X110" s="147">
        <f>STDEV(E107:E110)</f>
        <v>3.311646602409513</v>
      </c>
      <c r="Y110" s="148">
        <f>(X110/W110)*100</f>
        <v>41.825852582842927</v>
      </c>
    </row>
    <row r="113" spans="1:20" ht="17.399999999999999" customHeight="1" x14ac:dyDescent="0.35">
      <c r="A113" s="321" t="s">
        <v>143</v>
      </c>
      <c r="B113" s="321"/>
      <c r="C113" s="321"/>
      <c r="D113" s="321"/>
      <c r="E113" s="321"/>
    </row>
    <row r="115" spans="1:20" ht="15" customHeight="1" x14ac:dyDescent="0.3">
      <c r="B115" s="320" t="s">
        <v>37</v>
      </c>
      <c r="C115" s="320"/>
      <c r="D115" s="320"/>
      <c r="E115" s="328" t="s">
        <v>69</v>
      </c>
      <c r="F115" s="328"/>
      <c r="G115" s="342" t="s">
        <v>90</v>
      </c>
      <c r="H115" s="342"/>
      <c r="I115" s="342" t="s">
        <v>334</v>
      </c>
      <c r="J115" s="342"/>
      <c r="K115" s="342" t="s">
        <v>102</v>
      </c>
      <c r="L115" s="342"/>
      <c r="M115" s="342" t="s">
        <v>54</v>
      </c>
      <c r="N115" s="342"/>
      <c r="O115" s="342" t="s">
        <v>94</v>
      </c>
      <c r="P115" s="342"/>
      <c r="Q115" s="342" t="s">
        <v>77</v>
      </c>
      <c r="R115" s="342"/>
      <c r="S115" s="342" t="s">
        <v>59</v>
      </c>
      <c r="T115" s="342"/>
    </row>
    <row r="116" spans="1:20" ht="15" customHeight="1" x14ac:dyDescent="0.3">
      <c r="B116" s="336" t="s">
        <v>323</v>
      </c>
      <c r="C116" s="336"/>
      <c r="D116" s="336"/>
      <c r="E116" s="328"/>
      <c r="F116" s="328"/>
      <c r="G116" s="342"/>
      <c r="H116" s="342"/>
      <c r="I116" s="342"/>
      <c r="J116" s="342"/>
      <c r="K116" s="342"/>
      <c r="L116" s="342"/>
      <c r="M116" s="342"/>
      <c r="N116" s="342"/>
      <c r="O116" s="342"/>
      <c r="P116" s="342"/>
      <c r="Q116" s="342"/>
      <c r="R116" s="342"/>
      <c r="S116" s="342"/>
      <c r="T116" s="342"/>
    </row>
    <row r="117" spans="1:20" ht="15" customHeight="1" x14ac:dyDescent="0.3">
      <c r="B117" s="323" t="s">
        <v>62</v>
      </c>
      <c r="C117" s="323"/>
      <c r="D117" s="25" t="s">
        <v>308</v>
      </c>
      <c r="E117" s="312">
        <f>IF($E$5 &lt; 18,  (0.535 * $E$5^3 + 56.937 * $E$5^2 - 124.25 * $E$5 + 1051.3) / 1040,19.6)</f>
        <v>19.600000000000001</v>
      </c>
      <c r="F117" s="312"/>
      <c r="G117" s="338">
        <f>IF($E$5 &lt; 18,  (1.26*10^(-1) * ($E$5 * 365.25 * 24) + 7.76*10^(-6) * ($E$5 * 365.25 * 24)^(1.76) + 9.5*10^(-2))/1000,31.73)</f>
        <v>31.73</v>
      </c>
      <c r="H117" s="338"/>
      <c r="I117" s="330">
        <f>IF($E$5 &lt; 3, 9.561*10^(-2) * $Q$16 + 1.601*10^(-2) * $Q$17 + 1.097*10^(-1) * $E$5, IF( $E$5 &lt; 18, 2.789*10^(-1) * $Q$16 - 6.358*10^(-2) * $Q$17 + 9.85*10^(-1) * $E$5 + 2.167, 2.598*10^(-1) * $Q$16 + 1.206*10^(-1) * $Q$17 - 4.3*10^(-3) * $E$5 - 1.11))</f>
        <v>40.507564821292554</v>
      </c>
      <c r="J117" s="330"/>
      <c r="K117" s="315">
        <f>(0.1251 + 0.00001458 * ($Q$16*1000) - 0.0000000002927 *($Q$16*1000)^2 + 0.000000000000002114 * ($Q$16*1000)^3 - 5.25E-21 * ($Q$16*1000)^4) * $Q$16</f>
        <v>22.870012936527203</v>
      </c>
      <c r="L117" s="315"/>
      <c r="M117" s="343" t="s">
        <v>55</v>
      </c>
      <c r="N117" s="343"/>
      <c r="O117" s="312">
        <f>IF($E$5 &lt; 18, (0.535 * $E$5^3 + 56.937 * $E$5^2 - 124.25*$E$5 + 1051.3) / 1040, 19.6)</f>
        <v>19.600000000000001</v>
      </c>
      <c r="P117" s="312"/>
      <c r="Q117" s="330">
        <f>IF($E$5 &lt;= 24.3, (0.3973 + (0.201 - 0.3973) * EXP(-0.141 * $E$5)) * $Q$16,  (0.3973 + (0.201 - 0.3973) * EXP(-0.141 *$E$5)) * $Q$16 * (-0.0001264 * $E$5^2 + 0.006131 * $E$5 + 0.926) )</f>
        <v>29.22275194727197</v>
      </c>
      <c r="R117" s="330"/>
      <c r="S117" s="312">
        <f>IF($E$5 &lt; 19, (12.4 /(1 + (6.5 * EXP(-0.55 * $E$5)))) + (19.7 / (1 + EXP(-0.85 * ($E$5 - 13.7)))), 31.86)</f>
        <v>31.86</v>
      </c>
      <c r="T117" s="312"/>
    </row>
    <row r="118" spans="1:20" ht="15" customHeight="1" x14ac:dyDescent="0.3">
      <c r="B118" s="323"/>
      <c r="C118" s="323"/>
      <c r="D118" s="25" t="s">
        <v>309</v>
      </c>
      <c r="E118" s="343" t="s">
        <v>55</v>
      </c>
      <c r="F118" s="343"/>
      <c r="G118" s="338">
        <f>IF($E$5 &lt; 18,  (1.26*10^(-1) * ($E$5 * 365.25 * 24) + 7.76*10^(-6) * ($E$5 * 365.25 * 24)^(1.76) + 9.5*10^(-2))/1000,31.73)</f>
        <v>31.73</v>
      </c>
      <c r="H118" s="338"/>
      <c r="I118" s="330">
        <f>IF($E$5 &lt; 3, 0.09563 * $R$16 + 0.0165 * $R$17 + 0.09102 * $E$5 - 0.1642, IF($E$5 &lt; 18, 0.1629 * $R$16 + 0.02603 * $R$17 + 0.4661 * $E$5 - 3.332, 6.78 * $D$24^1.629 - 0.001492 * $E$5 + 3.58))</f>
        <v>24.611586112231606</v>
      </c>
      <c r="J118" s="330"/>
      <c r="K118" s="315">
        <f>(0.1251 + 0.00001458 * ($R$16*1000) - 0.0000000002927 *($R$16*1000)^2 + 0.000000000000002114 * ($R$16*1000)^3 - 5.25E-21 * ($R$16*1000)^4) * $R$16</f>
        <v>21.158979332135612</v>
      </c>
      <c r="L118" s="315"/>
      <c r="M118" s="330">
        <f>IF($E$5 &lt; 3, 0.09563 * $R$16 + 0.0165 * $R$17 + 0.09102 * $E$5 - 0.1642, IF($E$5 &lt; 18, 0.1629 * $R$16 + 0.02603 * $R$17 + 0.4661 * $E$5 - 3.332, 6.78 * $D$24^1.629 - 0.001492 * $E$5 + 3.58))</f>
        <v>24.611586112231606</v>
      </c>
      <c r="N118" s="330"/>
      <c r="O118" s="312">
        <f>IF($E$5 &lt; 18, (0.015 * $E$5^6 - 0.8155*$E$5^5 + 15.849*$E$5^4 - 134.99 * $E$5^3 + 549.43 * $E$5^2 - 530.65 * $E$5 + 958.87) / 1040, 15.17)</f>
        <v>15.17</v>
      </c>
      <c r="P118" s="312"/>
      <c r="Q118" s="330">
        <f>IF($E$5 &lt;= 25.90709, (0.2917 + (0.207 - 0.2917) * EXP(-0.339 * $E$5)) * $R$16, (0.2917 + (0.207 - 0.2917) * EXP(-0.339 * $E$5)) * (-0.0001264 * $E$5^2 + 0.006131 * $E$5 + 0.926) * $R$16 )</f>
        <v>17.652616611272279</v>
      </c>
      <c r="R118" s="330"/>
      <c r="S118" s="312">
        <f>IF($E$5 &lt; 19, (7 /(1 + (6.5 * EXP(-0.55 * $E$5)))) + (13 / (1 + EXP(-0.75 * ($E$5 - 11.5)))), 19.95)</f>
        <v>19.95</v>
      </c>
      <c r="T118" s="312"/>
    </row>
    <row r="119" spans="1:20" ht="15" customHeight="1" x14ac:dyDescent="0.3">
      <c r="B119" s="323" t="s">
        <v>57</v>
      </c>
      <c r="C119" s="323"/>
      <c r="D119" s="25" t="s">
        <v>308</v>
      </c>
      <c r="E119" s="312">
        <f>IF($E$5 &lt; 18,  (0.535 * $E$5^3 + 56.937 * $E$5^2 - 124.25 * $E$5 + 1051.3) / 1040,19.6)</f>
        <v>19.600000000000001</v>
      </c>
      <c r="F119" s="312"/>
      <c r="G119" s="338">
        <f t="shared" ref="G119:G130" si="0">IF($E$5 &lt; 18,  (1.26*10^(-1) * ($E$5 * 365.25 * 24) + 7.76*10^(-6) * ($E$5 * 365.25 * 24)^(1.76) + 9.5*10^(-2))/1000,31.73)</f>
        <v>31.73</v>
      </c>
      <c r="H119" s="338"/>
      <c r="I119" s="330">
        <f>IF($E$5 &lt; 3, 9.561*10^(-2) * $Q$16 + 1.601*10^(-2) * $Q$17 + 1.097*10^(-1) * $E$5, IF( $E$5 &lt; 18, 2.789*10^(-1) * $Q$16 - 6.358*10^(-2) * $Q$17 + 9.85*10^(-1) * $E$5 + 2.167, 2.598*10^(-1) * $Q$16 + 1.206*10^(-1) * $Q$17 - 4.3*10^(-3) * $E$5 - 1.11))</f>
        <v>40.507564821292554</v>
      </c>
      <c r="J119" s="330"/>
      <c r="K119" s="315">
        <f>(0.1251 + 0.00001458 * ($Q$16*1000) - 0.0000000002927 *($Q$16*1000)^2 + 0.000000000000002114 * ($Q$16*1000)^3 - 5.25E-21 * ($Q$16*1000)^4) * $Q$16</f>
        <v>22.870012936527203</v>
      </c>
      <c r="L119" s="315"/>
      <c r="M119" s="343" t="s">
        <v>55</v>
      </c>
      <c r="N119" s="343"/>
      <c r="O119" s="312">
        <f>IF($E$5 &lt; 18, (0.535 * $E$5^3 + 56.937 * $E$5^2 - 124.25*$E$5 + 1051.3) / 1040, 19.6)</f>
        <v>19.600000000000001</v>
      </c>
      <c r="P119" s="312"/>
      <c r="Q119" s="330">
        <f>IF($E$5 &lt;= 24.3, (0.3973 + (0.201 - 0.3973) * EXP(-0.141 * $E$5)) * $Q$16,  (0.3973 + (0.201 - 0.3973) * EXP(-0.141 *$E$5)) * $Q$16 * (-0.0001264 * $E$5^2 + 0.006131 * $E$5 + 0.926) )</f>
        <v>29.22275194727197</v>
      </c>
      <c r="R119" s="330"/>
      <c r="S119" s="312">
        <f>IF($E$5 &lt; 19, (12.4 /(1 + (6.5 * EXP(-0.55 * $E$5)))) + (19.7 / (1 + EXP(-0.85 * ($E$5 - 13.7)))), 31.86)</f>
        <v>31.86</v>
      </c>
      <c r="T119" s="312"/>
    </row>
    <row r="120" spans="1:20" ht="15" customHeight="1" x14ac:dyDescent="0.3">
      <c r="B120" s="323"/>
      <c r="C120" s="323"/>
      <c r="D120" s="25" t="s">
        <v>309</v>
      </c>
      <c r="E120" s="343" t="s">
        <v>55</v>
      </c>
      <c r="F120" s="343"/>
      <c r="G120" s="338">
        <f t="shared" si="0"/>
        <v>31.73</v>
      </c>
      <c r="H120" s="338"/>
      <c r="I120" s="330">
        <f>IF($E$5 &lt; 3, 0.09563 * $R$16 + 0.0165 * $R$17 + 0.09102 * $E$5 - 0.1642, IF($E$5 &lt; 18, 0.1629 * $R$16 + 0.02603 * $R$17 + 0.4661 * $E$5 - 3.332, 6.78 * $E$25^1.629 - 0.001492 * $E$5 + 3.58))</f>
        <v>20.260977163637612</v>
      </c>
      <c r="J120" s="330"/>
      <c r="K120" s="315">
        <f>(0.1251 + 0.00001458 * ($R$16*1000) - 0.0000000002927 *($R$16*1000)^2 + 0.000000000000002114 * ($R$16*1000)^3 - 5.25E-21 * ($R$16*1000)^4) * $R$16</f>
        <v>21.158979332135612</v>
      </c>
      <c r="L120" s="315"/>
      <c r="M120" s="330">
        <f>IF($E$5 &lt; 3, 0.09563 * $R$16 + 0.0165 * $R$17 + 0.09102 * $E$5 - 0.1642, IF($E$5 &lt; 18, 0.1629 * $R$16 + 0.02603 * $R$17 + 0.4661 * $E$5 - 3.332, 6.78 * $D$24^1.629 - 0.001492 * $E$5 + 3.58))</f>
        <v>24.611586112231606</v>
      </c>
      <c r="N120" s="330"/>
      <c r="O120" s="312">
        <f>IF($E$5 &lt; 18, (0.015 * $E$5^6 - 0.8155*$E$5^5 + 15.849*$E$5^4 - 134.99 * $E$5^3 + 549.43 * $E$5^2 - 530.65 * $E$5 + 958.87) / 1040, 15.17)</f>
        <v>15.17</v>
      </c>
      <c r="P120" s="312"/>
      <c r="Q120" s="330">
        <f>IF($E$5 &lt;= 25.90709, (0.2917 + (0.207 - 0.2917) * EXP(-0.339 * $E$5)) * $R$16, (0.2917 + (0.207 - 0.2917) * EXP(-0.339 * $E$5)) * (-0.0001264 * $E$5^2 + 0.006131 * $E$5 + 0.926) * $R$16 )</f>
        <v>17.652616611272279</v>
      </c>
      <c r="R120" s="330"/>
      <c r="S120" s="312">
        <f>IF($E$5 &lt; 19, (7 /(1 + (6.5 * EXP(-0.55 * $E$5)))) + (13 / (1 + EXP(-0.75 * ($E$5 - 11.5)))), 19.95)</f>
        <v>19.95</v>
      </c>
      <c r="T120" s="312"/>
    </row>
    <row r="121" spans="1:20" ht="15" customHeight="1" x14ac:dyDescent="0.3">
      <c r="B121" s="323" t="s">
        <v>65</v>
      </c>
      <c r="C121" s="323"/>
      <c r="D121" s="25" t="s">
        <v>308</v>
      </c>
      <c r="E121" s="312">
        <f>IF($E$5 &lt; 18,  (0.535 * $E$5^3 + 56.937 * $E$5^2 - 124.25 * $E$5 + 1051.3) / 1040,19.6)</f>
        <v>19.600000000000001</v>
      </c>
      <c r="F121" s="312"/>
      <c r="G121" s="338">
        <f t="shared" si="0"/>
        <v>31.73</v>
      </c>
      <c r="H121" s="338"/>
      <c r="I121" s="330">
        <f>IF($E$5 &lt; 3, 9.561*10^(-2) * $Q$16 + 1.601*10^(-2) * $Q$17 + 1.097*10^(-1) * $E$5, IF( $E$5 &lt; 18, 2.789*10^(-1) * $Q$16 - 6.358*10^(-2) * $Q$17 + 9.85*10^(-1) * $E$5 + 2.167, 2.598*10^(-1) * $Q$16 + 1.206*10^(-1) * $Q$17 - 4.3*10^(-3) * $E$5 - 1.11))</f>
        <v>40.507564821292554</v>
      </c>
      <c r="J121" s="330"/>
      <c r="K121" s="315">
        <f>(0.1251 + 0.00001458 * ($Q$16*1000) - 0.0000000002927 *($Q$16*1000)^2 + 0.000000000000002114 * ($Q$16*1000)^3 - 5.25E-21 * ($Q$16*1000)^4) * $Q$16</f>
        <v>22.870012936527203</v>
      </c>
      <c r="L121" s="315"/>
      <c r="M121" s="343" t="s">
        <v>55</v>
      </c>
      <c r="N121" s="343"/>
      <c r="O121" s="312">
        <f>IF($E$5 &lt; 18, (0.535 * $E$5^3 + 56.937 * $E$5^2 - 124.25*$E$5 + 1051.3) / 1040, 19.6)</f>
        <v>19.600000000000001</v>
      </c>
      <c r="P121" s="312"/>
      <c r="Q121" s="330">
        <f>IF($E$5 &lt;= 24.3, (0.3973 + (0.201 - 0.3973) * EXP(-0.141 * $E$5)) * $Q$16,  (0.3973 + (0.201 - 0.3973) * EXP(-0.141 *$E$5)) * $Q$16 * (-0.0001264 * $E$5^2 + 0.006131 * $E$5 + 0.926) )</f>
        <v>29.22275194727197</v>
      </c>
      <c r="R121" s="330"/>
      <c r="S121" s="312">
        <f>IF($E$5 &lt; 19, (12.4 /(1 + (6.5 * EXP(-0.55 * $E$5)))) + (19.7 / (1 + EXP(-0.85 * ($E$5 - 13.7)))), 31.86)</f>
        <v>31.86</v>
      </c>
      <c r="T121" s="312"/>
    </row>
    <row r="122" spans="1:20" ht="15" customHeight="1" x14ac:dyDescent="0.3">
      <c r="B122" s="323"/>
      <c r="C122" s="323"/>
      <c r="D122" s="25" t="s">
        <v>309</v>
      </c>
      <c r="E122" s="343" t="s">
        <v>55</v>
      </c>
      <c r="F122" s="343"/>
      <c r="G122" s="338">
        <f t="shared" si="0"/>
        <v>31.73</v>
      </c>
      <c r="H122" s="338"/>
      <c r="I122" s="330">
        <f>IF($E$5 &lt; 3, 0.09563 * $R$16 + 0.0165 * $R$17 + 0.09102 * $E$5 - 0.1642, IF($E$5 &lt; 18, 0.1629 * $R$16 + 0.02603 * $R$17 + 0.4661 * $E$5 - 3.332, 6.78 * $D$26^1.629 - 0.001492 * $E$5 + 3.58))</f>
        <v>23.632468370920819</v>
      </c>
      <c r="J122" s="330"/>
      <c r="K122" s="315">
        <f>(0.1251 + 0.00001458 * ($R$16*1000) - 0.0000000002927 *($R$16*1000)^2 + 0.000000000000002114 * ($R$16*1000)^3 - 5.25E-21 * ($R$16*1000)^4) * $R$16</f>
        <v>21.158979332135612</v>
      </c>
      <c r="L122" s="315"/>
      <c r="M122" s="330">
        <f>IF($E$5 &lt; 3, 0.09563 * $R$16 + 0.0165 * $R$17 + 0.09102 * $E$5 - 0.1642, IF($E$5 &lt; 18, 0.1629 * $R$16 + 0.02603 * $R$17 + 0.4661 * $E$5 - 3.332, 6.78 * $D$24^1.629 - 0.001492 * $E$5 + 3.58))</f>
        <v>24.611586112231606</v>
      </c>
      <c r="N122" s="330"/>
      <c r="O122" s="312">
        <f>IF($E$5 &lt; 18, (0.015 * $E$5^6 - 0.8155*$E$5^5 + 15.849*$E$5^4 - 134.99 * $E$5^3 + 549.43 * $E$5^2 - 530.65 * $E$5 + 958.87) / 1040, 15.17)</f>
        <v>15.17</v>
      </c>
      <c r="P122" s="312"/>
      <c r="Q122" s="330">
        <f>IF($E$5 &lt;= 25.90709, (0.2917 + (0.207 - 0.2917) * EXP(-0.339 * $E$5)) * $R$16, (0.2917 + (0.207 - 0.2917) * EXP(-0.339 * $E$5)) * (-0.0001264 * $E$5^2 + 0.006131 * $E$5 + 0.926) * $R$16 )</f>
        <v>17.652616611272279</v>
      </c>
      <c r="R122" s="330"/>
      <c r="S122" s="312">
        <f>IF($E$5 &lt; 19, (7 /(1 + (6.5 * EXP(-0.55 * $E$5)))) + (13 / (1 + EXP(-0.75 * ($E$5 - 11.5)))), 19.95)</f>
        <v>19.95</v>
      </c>
      <c r="T122" s="312"/>
    </row>
    <row r="123" spans="1:20" ht="15" customHeight="1" x14ac:dyDescent="0.3">
      <c r="B123" s="323" t="s">
        <v>51</v>
      </c>
      <c r="C123" s="323"/>
      <c r="D123" s="25" t="s">
        <v>308</v>
      </c>
      <c r="E123" s="312">
        <f>IF($E$5 &lt; 18,  (0.535 * $E$5^3 + 56.937 * $E$5^2 - 124.25 * $E$5 + 1051.3) / 1040,19.6)</f>
        <v>19.600000000000001</v>
      </c>
      <c r="F123" s="312"/>
      <c r="G123" s="338">
        <f t="shared" si="0"/>
        <v>31.73</v>
      </c>
      <c r="H123" s="338"/>
      <c r="I123" s="330">
        <f>IF($E$5 &lt; 3, 9.561*10^(-2) * $Q$16 + 1.601*10^(-2) * $Q$17 + 1.097*10^(-1) * $E$5, IF( $E$5 &lt; 18, 2.789*10^(-1) * $Q$16 - 6.358*10^(-2) * $Q$17 + 9.85*10^(-1) * $E$5 + 2.167, 2.598*10^(-1) * $Q$16 + 1.206*10^(-1) * $Q$17 - 4.3*10^(-3) * $E$5 - 1.11))</f>
        <v>40.507564821292554</v>
      </c>
      <c r="J123" s="330"/>
      <c r="K123" s="315">
        <f>(0.1251 + 0.00001458 * ($Q$16*1000) - 0.0000000002927 *($Q$16*1000)^2 + 0.000000000000002114 * ($Q$16*1000)^3 - 5.25E-21 * ($Q$16*1000)^4) * $Q$16</f>
        <v>22.870012936527203</v>
      </c>
      <c r="L123" s="315"/>
      <c r="M123" s="343" t="s">
        <v>55</v>
      </c>
      <c r="N123" s="343"/>
      <c r="O123" s="312">
        <f>IF($E$5 &lt; 18, (0.535 * $E$5^3 + 56.937 * $E$5^2 - 124.25*$E$5 + 1051.3) / 1040, 19.6)</f>
        <v>19.600000000000001</v>
      </c>
      <c r="P123" s="312"/>
      <c r="Q123" s="330">
        <f>IF($E$5 &lt;= 24.3, (0.3973 + (0.201 - 0.3973) * EXP(-0.141 * $E$5)) * $Q$16,  (0.3973 + (0.201 - 0.3973) * EXP(-0.141 *$E$5)) * $Q$16 * (-0.0001264 * $E$5^2 + 0.006131 * $E$5 + 0.926) )</f>
        <v>29.22275194727197</v>
      </c>
      <c r="R123" s="330"/>
      <c r="S123" s="312">
        <f>IF($E$5 &lt; 19, (12.4 /(1 + (6.5 * EXP(-0.55 * $E$5)))) + (19.7 / (1 + EXP(-0.85 * ($E$5 - 13.7)))), 31.86)</f>
        <v>31.86</v>
      </c>
      <c r="T123" s="312"/>
    </row>
    <row r="124" spans="1:20" ht="15" customHeight="1" x14ac:dyDescent="0.3">
      <c r="B124" s="323"/>
      <c r="C124" s="323"/>
      <c r="D124" s="25" t="s">
        <v>309</v>
      </c>
      <c r="E124" s="343" t="s">
        <v>55</v>
      </c>
      <c r="F124" s="343"/>
      <c r="G124" s="338">
        <f t="shared" si="0"/>
        <v>31.73</v>
      </c>
      <c r="H124" s="338"/>
      <c r="I124" s="330">
        <f>IF($E$5 &lt; 3, 0.09563 * $R$16 + 0.0165 * $R$17 + 0.09102 * $E$5 - 0.1642, IF($E$5 &lt; 18, 0.1629 * $R$16 + 0.02603 * $R$17 + 0.4661 * $E$5 - 3.332, 6.78 * $D$27^1.629 - 0.001492 * $E$5 + 3.58))</f>
        <v>24.176349746637577</v>
      </c>
      <c r="J124" s="330"/>
      <c r="K124" s="315">
        <f>(0.1251 + 0.00001458 * ($R$16*1000) - 0.0000000002927 *($R$16*1000)^2 + 0.000000000000002114 * ($R$16*1000)^3 - 5.25E-21 * ($R$16*1000)^4) * $R$16</f>
        <v>21.158979332135612</v>
      </c>
      <c r="L124" s="315"/>
      <c r="M124" s="330">
        <f>IF($E$5 &lt; 3, 0.09563 * $R$16 + 0.0165 * $R$17 + 0.09102 * $E$5 - 0.1642, IF($E$5 &lt; 18, 0.1629 * $R$16 + 0.02603 * $R$17 + 0.4661 * $E$5 - 3.332, 6.78 * $D$24^1.629 - 0.001492 * $E$5 + 3.58))</f>
        <v>24.611586112231606</v>
      </c>
      <c r="N124" s="330"/>
      <c r="O124" s="312">
        <f>IF($E$5 &lt; 18, (0.015 * $E$5^6 - 0.8155*$E$5^5 + 15.849*$E$5^4 - 134.99 * $E$5^3 + 549.43 * $E$5^2 - 530.65 * $E$5 + 958.87) / 1040, 15.17)</f>
        <v>15.17</v>
      </c>
      <c r="P124" s="312"/>
      <c r="Q124" s="330">
        <f>IF($E$5 &lt;= 25.90709, (0.2917 + (0.207 - 0.2917) * EXP(-0.339 * $E$5)) * $R$16, (0.2917 + (0.207 - 0.2917) * EXP(-0.339 * $E$5)) * (-0.0001264 * $E$5^2 + 0.006131 * $E$5 + 0.926) * $R$16 )</f>
        <v>17.652616611272279</v>
      </c>
      <c r="R124" s="330"/>
      <c r="S124" s="312">
        <f>IF($E$5 &lt; 19, (7 /(1 + (6.5 * EXP(-0.55 * $E$5)))) + (13 / (1 + EXP(-0.75 * ($E$5 - 11.5)))), 19.95)</f>
        <v>19.95</v>
      </c>
      <c r="T124" s="312"/>
    </row>
    <row r="125" spans="1:20" ht="15" customHeight="1" x14ac:dyDescent="0.3">
      <c r="B125" s="323" t="s">
        <v>64</v>
      </c>
      <c r="C125" s="323"/>
      <c r="D125" s="25" t="s">
        <v>308</v>
      </c>
      <c r="E125" s="312">
        <f>IF($E$5 &lt; 18,  (0.535 * $E$5^3 + 56.937 * $E$5^2 - 124.25 * $E$5 + 1051.3) / 1040,19.6)</f>
        <v>19.600000000000001</v>
      </c>
      <c r="F125" s="312"/>
      <c r="G125" s="338">
        <f t="shared" si="0"/>
        <v>31.73</v>
      </c>
      <c r="H125" s="338"/>
      <c r="I125" s="330">
        <f>IF($E$5 &lt; 3, 9.561*10^(-2) * $Q$16 + 1.601*10^(-2) * $Q$17 + 1.097*10^(-1) * $E$5, IF( $E$5 &lt; 18, 2.789*10^(-1) * $Q$16 - 6.358*10^(-2) * $Q$17 + 9.85*10^(-1) * $E$5 + 2.167, 2.598*10^(-1) * $Q$16 + 1.206*10^(-1) * $Q$17 - 4.3*10^(-3) * $E$5 - 1.11))</f>
        <v>40.507564821292554</v>
      </c>
      <c r="J125" s="330"/>
      <c r="K125" s="315">
        <f>(0.1251 + 0.00001458 * ($Q$16*1000) - 0.0000000002927 *($Q$16*1000)^2 + 0.000000000000002114 * ($Q$16*1000)^3 - 5.25E-21 * ($Q$16*1000)^4) * $Q$16</f>
        <v>22.870012936527203</v>
      </c>
      <c r="L125" s="315"/>
      <c r="M125" s="343" t="s">
        <v>55</v>
      </c>
      <c r="N125" s="343"/>
      <c r="O125" s="312">
        <f>IF($E$5 &lt; 18, (0.535 * $E$5^3 + 56.937 * $E$5^2 - 124.25*$E$5 + 1051.3) / 1040, 19.6)</f>
        <v>19.600000000000001</v>
      </c>
      <c r="P125" s="312"/>
      <c r="Q125" s="330">
        <f>IF($E$5 &lt;= 24.3, (0.3973 + (0.201 - 0.3973) * EXP(-0.141 * $E$5)) * $Q$16,  (0.3973 + (0.201 - 0.3973) * EXP(-0.141 *$E$5)) * $Q$16 * (-0.0001264 * $E$5^2 + 0.006131 * $E$5 + 0.926) )</f>
        <v>29.22275194727197</v>
      </c>
      <c r="R125" s="330"/>
      <c r="S125" s="312">
        <f>IF($E$5 &lt; 19, (12.4 /(1 + (6.5 * EXP(-0.55 * $E$5)))) + (19.7 / (1 + EXP(-0.85 * ($E$5 - 13.7)))), 31.86)</f>
        <v>31.86</v>
      </c>
      <c r="T125" s="312"/>
    </row>
    <row r="126" spans="1:20" ht="15" customHeight="1" x14ac:dyDescent="0.3">
      <c r="B126" s="323"/>
      <c r="C126" s="323"/>
      <c r="D126" s="25" t="s">
        <v>309</v>
      </c>
      <c r="E126" s="343" t="s">
        <v>55</v>
      </c>
      <c r="F126" s="343"/>
      <c r="G126" s="338">
        <f t="shared" si="0"/>
        <v>31.73</v>
      </c>
      <c r="H126" s="338"/>
      <c r="I126" s="330">
        <f>IF($E$5 &lt; 3, 0.09563 * $R$16 + 0.0165 * $R$17 + 0.09102 * $E$5 - 0.1642, IF($E$5 &lt; 18, 0.1629 * $R$16 + 0.02603 * $R$17 + 0.4661 * $E$5 - 3.332, 6.78 * $D$28^1.629 - 0.001492 * $E$5 + 3.58))</f>
        <v>24.611586112231606</v>
      </c>
      <c r="J126" s="330"/>
      <c r="K126" s="315">
        <f>(0.1251 + 0.00001458 * ($R$16*1000) - 0.0000000002927 *($R$16*1000)^2 + 0.000000000000002114 * ($R$16*1000)^3 - 5.25E-21 * ($R$16*1000)^4) * $R$16</f>
        <v>21.158979332135612</v>
      </c>
      <c r="L126" s="315"/>
      <c r="M126" s="330">
        <f>IF($E$5 &lt; 3, 0.09563 * $R$16 + 0.0165 * $R$17 + 0.09102 * $E$5 - 0.1642, IF($E$5 &lt; 18, 0.1629 * $R$16 + 0.02603 * $R$17 + 0.4661 * $E$5 - 3.332, 6.78 * $D$24^1.629 - 0.001492 * $E$5 + 3.58))</f>
        <v>24.611586112231606</v>
      </c>
      <c r="N126" s="330"/>
      <c r="O126" s="312">
        <f>IF($E$5 &lt; 18, (0.015 * $E$5^6 - 0.8155*$E$5^5 + 15.849*$E$5^4 - 134.99 * $E$5^3 + 549.43 * $E$5^2 - 530.65 * $E$5 + 958.87) / 1040, 15.17)</f>
        <v>15.17</v>
      </c>
      <c r="P126" s="312"/>
      <c r="Q126" s="330">
        <f>IF($E$5 &lt;= 25.90709, (0.2917 + (0.207 - 0.2917) * EXP(-0.339 * $E$5)) * $R$16, (0.2917 + (0.207 - 0.2917) * EXP(-0.339 * $E$5)) * (-0.0001264 * $E$5^2 + 0.006131 * $E$5 + 0.926) * $R$16 )</f>
        <v>17.652616611272279</v>
      </c>
      <c r="R126" s="330"/>
      <c r="S126" s="312">
        <f>IF($E$5 &lt; 19, (7 /(1 + (6.5 * EXP(-0.55 * $E$5)))) + (13 / (1 + EXP(-0.75 * ($E$5 - 11.5)))), 19.95)</f>
        <v>19.95</v>
      </c>
      <c r="T126" s="312"/>
    </row>
    <row r="127" spans="1:20" ht="15" customHeight="1" x14ac:dyDescent="0.3">
      <c r="B127" s="323" t="s">
        <v>54</v>
      </c>
      <c r="C127" s="323"/>
      <c r="D127" s="25" t="s">
        <v>308</v>
      </c>
      <c r="E127" s="312">
        <f>IF($E$5 &lt; 18,  (0.535 * $E$5^3 + 56.937 * $E$5^2 - 124.25 * $E$5 + 1051.3) / 1040,19.6)</f>
        <v>19.600000000000001</v>
      </c>
      <c r="F127" s="312"/>
      <c r="G127" s="338">
        <f t="shared" si="0"/>
        <v>31.73</v>
      </c>
      <c r="H127" s="338"/>
      <c r="I127" s="343" t="s">
        <v>55</v>
      </c>
      <c r="J127" s="343"/>
      <c r="K127" s="315">
        <f>(0.1251 + 0.00001458 * ($Q$16*1000) - 0.0000000002927 *($Q$16*1000)^2 + 0.000000000000002114 * ($Q$16*1000)^3 - 5.25E-21 * ($Q$16*1000)^4) * $Q$16</f>
        <v>22.870012936527203</v>
      </c>
      <c r="L127" s="315"/>
      <c r="M127" s="343" t="s">
        <v>55</v>
      </c>
      <c r="N127" s="343"/>
      <c r="O127" s="312">
        <f>IF($E$5 &lt; 18, (0.535 * $E$5^3 + 56.937 * $E$5^2 - 124.25*$E$5 + 1051.3) / 1040, 19.6)</f>
        <v>19.600000000000001</v>
      </c>
      <c r="P127" s="312"/>
      <c r="Q127" s="330">
        <f>IF($E$5 &lt;= 24.3, (0.3973 + (0.201 - 0.3973) * EXP(-0.141 * $E$5)) * $Q$16,  (0.3973 + (0.201 - 0.3973) * EXP(-0.141 *$E$5)) * $Q$16 * (-0.0001264 * $E$5^2 + 0.006131 * $E$5 + 0.926) )</f>
        <v>29.22275194727197</v>
      </c>
      <c r="R127" s="330"/>
      <c r="S127" s="312">
        <f>IF($E$5 &lt; 19, (12.4 /(1 + (6.5 * EXP(-0.55 * $E$5)))) + (19.7 / (1 + EXP(-0.85 * ($E$5 - 13.7)))), 31.86)</f>
        <v>31.86</v>
      </c>
      <c r="T127" s="312"/>
    </row>
    <row r="128" spans="1:20" ht="15" customHeight="1" x14ac:dyDescent="0.3">
      <c r="B128" s="323"/>
      <c r="C128" s="323"/>
      <c r="D128" s="25" t="s">
        <v>309</v>
      </c>
      <c r="E128" s="343" t="s">
        <v>55</v>
      </c>
      <c r="F128" s="343"/>
      <c r="G128" s="338">
        <f t="shared" si="0"/>
        <v>31.73</v>
      </c>
      <c r="H128" s="338"/>
      <c r="I128" s="330">
        <f>IF($E$5 &lt; 3, 0.09563 * $R$16 + 0.0165 * $R$17 + 0.09102 * $E$5 - 0.1642, IF($E$5 &lt; 18, 0.1629 * $R$16 + 0.02603 * $R$17 + 0.4661 * $E$5 - 3.332, 6.78 * $E$29^1.629 - 0.001492 * $E$5 + 3.58))</f>
        <v>20.249363894639608</v>
      </c>
      <c r="J128" s="330"/>
      <c r="K128" s="315">
        <f>(0.1251 + 0.00001458 * ($R$16*1000) - 0.0000000002927 *($R$16*1000)^2 + 0.000000000000002114 * ($R$16*1000)^3 - 5.25E-21 * ($R$16*1000)^4) * $R$16</f>
        <v>21.158979332135612</v>
      </c>
      <c r="L128" s="315"/>
      <c r="M128" s="330">
        <f>IF($E$5 &lt; 3, 0.09563 * $R$16 + 0.0165 * $R$17 + 0.09102 * $E$5 - 0.1642, IF($E$5 &lt; 18, 0.1629 * $R$16 + 0.02603 * $R$17 + 0.4661 * $E$5 - 3.332, 6.78 * $D$24^1.629 - 0.001492 * $E$5 + 3.58))</f>
        <v>24.611586112231606</v>
      </c>
      <c r="N128" s="330"/>
      <c r="O128" s="312">
        <f>IF($E$5 &lt; 18, (0.015 * $E$5^6 - 0.8155*$E$5^5 + 15.849*$E$5^4 - 134.99 * $E$5^3 + 549.43 * $E$5^2 - 530.65 * $E$5 + 958.87) / 1040, 15.17)</f>
        <v>15.17</v>
      </c>
      <c r="P128" s="312"/>
      <c r="Q128" s="330">
        <f>IF($E$5 &lt;= 25.90709, (0.2917 + (0.207 - 0.2917) * EXP(-0.339 * $E$5)) * $R$16, (0.2917 + (0.207 - 0.2917) * EXP(-0.339 * $E$5)) * (-0.0001264 * $E$5^2 + 0.006131 * $E$5 + 0.926) * $R$16 )</f>
        <v>17.652616611272279</v>
      </c>
      <c r="R128" s="330"/>
      <c r="S128" s="312">
        <f>IF($E$5 &lt; 19, (7 /(1 + (6.5 * EXP(-0.55 * $E$5)))) + (13 / (1 + EXP(-0.75 * ($E$5 - 11.5)))), 19.95)</f>
        <v>19.95</v>
      </c>
      <c r="T128" s="312"/>
    </row>
    <row r="129" spans="1:25" ht="15" customHeight="1" x14ac:dyDescent="0.3">
      <c r="B129" s="323" t="s">
        <v>59</v>
      </c>
      <c r="C129" s="323"/>
      <c r="D129" s="25" t="s">
        <v>308</v>
      </c>
      <c r="E129" s="312">
        <f>IF($E$5 &lt; 18,  (0.535 * $E$5^3 + 56.937 * $E$5^2 - 124.25 * $E$5 + 1051.3) / 1040,19.6)</f>
        <v>19.600000000000001</v>
      </c>
      <c r="F129" s="312"/>
      <c r="G129" s="338">
        <f t="shared" si="0"/>
        <v>31.73</v>
      </c>
      <c r="H129" s="338"/>
      <c r="I129" s="330">
        <f>IF($E$5 &lt; 3, 9.561*10^(-2) * $Q$16 + 1.601*10^(-2) * $Q$17 + 1.097*10^(-1) * $E$5, IF( $E$5 &lt; 18, 2.789*10^(-1) * $Q$16 - 6.358*10^(-2) * $Q$17 + 9.85*10^(-1) * $E$5 + 2.167, 2.598*10^(-1) * $Q$16 + 1.206*10^(-1) * $Q$17 - 4.3*10^(-3) * $E$5 - 1.11))</f>
        <v>40.507564821292554</v>
      </c>
      <c r="J129" s="330"/>
      <c r="K129" s="315">
        <f>(0.1251 + 0.00001458 * ($Q$16*1000) - 0.0000000002927 *($Q$16*1000)^2 + 0.000000000000002114 * ($Q$16*1000)^3 - 5.25E-21 * ($Q$16*1000)^4) * $Q$16</f>
        <v>22.870012936527203</v>
      </c>
      <c r="L129" s="315"/>
      <c r="M129" s="343" t="s">
        <v>55</v>
      </c>
      <c r="N129" s="343"/>
      <c r="O129" s="312">
        <f>IF($E$5 &lt; 18, (0.535 * $E$5^3 + 56.937 * $E$5^2 - 124.25*$E$5 + 1051.3) / 1040, 19.6)</f>
        <v>19.600000000000001</v>
      </c>
      <c r="P129" s="312"/>
      <c r="Q129" s="330">
        <f>IF($E$5 &lt;= 24.3, (0.3973 + (0.201 - 0.3973) * EXP(-0.141 * $E$5)) * $Q$16,  (0.3973 + (0.201 - 0.3973) * EXP(-0.141 *$E$5)) * $Q$16 * (-0.0001264 * $E$5^2 + 0.006131 * $E$5 + 0.926) )</f>
        <v>29.22275194727197</v>
      </c>
      <c r="R129" s="330"/>
      <c r="S129" s="312">
        <f>IF($E$5 &lt; 19, (12.4 /(1 + (6.5 * EXP(-0.55 * $E$5)))) + (19.7 / (1 + EXP(-0.85 * ($E$5 - 13.7)))), 31.86)</f>
        <v>31.86</v>
      </c>
      <c r="T129" s="312"/>
    </row>
    <row r="130" spans="1:25" ht="15" customHeight="1" x14ac:dyDescent="0.3">
      <c r="B130" s="323"/>
      <c r="C130" s="323"/>
      <c r="D130" s="25" t="s">
        <v>309</v>
      </c>
      <c r="E130" s="343" t="s">
        <v>55</v>
      </c>
      <c r="F130" s="343"/>
      <c r="G130" s="338">
        <f t="shared" si="0"/>
        <v>31.73</v>
      </c>
      <c r="H130" s="338"/>
      <c r="I130" s="330">
        <f>IF($E$5 &lt; 3, 0.09563 * $R$16 + 0.0165 * $R$17 + 0.09102 * $E$5 - 0.1642, IF($E$5 &lt; 18, 0.1629 * $R$16 + 0.02603 * $R$17 + 0.4661 * $E$5 - 3.332, 6.78 * $D$30^1.629 - 0.001492 * $E$5 + 3.58))</f>
        <v>23.956036740603736</v>
      </c>
      <c r="J130" s="330"/>
      <c r="K130" s="315">
        <f>(0.1251 + 0.00001458 * ($R$16*1000) - 0.0000000002927 *($R$16*1000)^2 + 0.000000000000002114 * ($R$16*1000)^3 - 5.25E-21 * ($R$16*1000)^4) * $R$16</f>
        <v>21.158979332135612</v>
      </c>
      <c r="L130" s="315"/>
      <c r="M130" s="330">
        <f>IF($E$5 &lt; 3, 0.09563 * $R$16 + 0.0165 * $R$17 + 0.09102 * $E$5 - 0.1642, IF($E$5 &lt; 18, 0.1629 * $R$16 + 0.02603 * $R$17 + 0.4661 * $E$5 - 3.332, 6.78 * $D$24^1.629 - 0.001492 * $E$5 + 3.58))</f>
        <v>24.611586112231606</v>
      </c>
      <c r="N130" s="330"/>
      <c r="O130" s="312">
        <f>IF($E$5 &lt; 18, (0.015 * $E$5^6 - 0.8155*$E$5^5 + 15.849*$E$5^4 - 134.99 * $E$5^3 + 549.43 * $E$5^2 - 530.65 * $E$5 + 958.87) / 1040, 15.17)</f>
        <v>15.17</v>
      </c>
      <c r="P130" s="312"/>
      <c r="Q130" s="330">
        <f>IF($E$5 &lt;= 25.90709, (0.2917 + (0.207 - 0.2917) * EXP(-0.339 * $E$5)) * $R$16, (0.2917 + (0.207 - 0.2917) * EXP(-0.339 * $E$5)) * (-0.0001264 * $E$5^2 + 0.006131 * $E$5 + 0.926) * $R$16 )</f>
        <v>17.652616611272279</v>
      </c>
      <c r="R130" s="330"/>
      <c r="S130" s="312">
        <f>IF($E$5 &lt; 19, (7 /(1 + (6.5 * EXP(-0.55 * $E$5)))) + (13 / (1 + EXP(-0.75 * ($E$5 - 11.5)))), 19.95)</f>
        <v>19.95</v>
      </c>
      <c r="T130" s="312"/>
    </row>
    <row r="131" spans="1:25" ht="15" customHeight="1" thickBot="1" x14ac:dyDescent="0.35">
      <c r="B131" s="129"/>
      <c r="C131" s="130"/>
      <c r="D131" s="131"/>
      <c r="E131" s="132"/>
      <c r="F131" s="132"/>
      <c r="G131" s="133"/>
      <c r="H131" s="133"/>
      <c r="I131" s="132"/>
      <c r="J131" s="132"/>
      <c r="K131" s="132"/>
      <c r="L131" s="132"/>
      <c r="M131" s="132"/>
      <c r="N131" s="132"/>
      <c r="O131" s="132"/>
      <c r="P131" s="132"/>
      <c r="Q131" s="132"/>
      <c r="R131" s="132"/>
      <c r="S131" s="134"/>
      <c r="T131" s="134"/>
      <c r="V131" s="357" t="s">
        <v>335</v>
      </c>
      <c r="W131" s="359" t="s">
        <v>325</v>
      </c>
      <c r="X131" s="360"/>
      <c r="Y131" s="361"/>
    </row>
    <row r="132" spans="1:25" s="105" customFormat="1" ht="16.8" thickTop="1" thickBot="1" x14ac:dyDescent="0.35">
      <c r="B132" s="332" t="s">
        <v>326</v>
      </c>
      <c r="C132" s="333"/>
      <c r="D132" s="127"/>
      <c r="E132" s="128" t="s">
        <v>327</v>
      </c>
      <c r="F132" s="128" t="s">
        <v>328</v>
      </c>
      <c r="G132" s="128" t="s">
        <v>327</v>
      </c>
      <c r="H132" s="128" t="s">
        <v>328</v>
      </c>
      <c r="I132" s="128" t="s">
        <v>327</v>
      </c>
      <c r="J132" s="128" t="s">
        <v>328</v>
      </c>
      <c r="K132" s="128" t="s">
        <v>327</v>
      </c>
      <c r="L132" s="128" t="s">
        <v>328</v>
      </c>
      <c r="M132" s="128" t="s">
        <v>327</v>
      </c>
      <c r="N132" s="128" t="s">
        <v>328</v>
      </c>
      <c r="O132" s="128" t="s">
        <v>327</v>
      </c>
      <c r="P132" s="128" t="s">
        <v>328</v>
      </c>
      <c r="Q132" s="128" t="s">
        <v>327</v>
      </c>
      <c r="R132" s="128" t="s">
        <v>328</v>
      </c>
      <c r="S132" s="128" t="s">
        <v>327</v>
      </c>
      <c r="T132" s="128" t="s">
        <v>328</v>
      </c>
      <c r="V132" s="358"/>
      <c r="W132" s="153" t="s">
        <v>327</v>
      </c>
      <c r="X132" s="154" t="s">
        <v>328</v>
      </c>
      <c r="Y132" s="155" t="s">
        <v>329</v>
      </c>
    </row>
    <row r="133" spans="1:25" s="105" customFormat="1" x14ac:dyDescent="0.3">
      <c r="B133" s="332"/>
      <c r="C133" s="333"/>
      <c r="D133" s="23" t="s">
        <v>308</v>
      </c>
      <c r="E133" s="135">
        <f>AVERAGE(E117,E119,E121,E123,E125,E127,E129)</f>
        <v>19.599999999999998</v>
      </c>
      <c r="F133" s="135">
        <f>STDEV(E117,E119,E121,E123,E125,E127,E129)</f>
        <v>3.8373693546654532E-15</v>
      </c>
      <c r="G133" s="135">
        <f>AVERAGE(G117,G119,G121,G123,G125,G127,G129)</f>
        <v>31.729999999999997</v>
      </c>
      <c r="H133" s="135">
        <f>STDEV(G117,G119,G121,G123,G125,G127,G129)</f>
        <v>3.8373693546654532E-15</v>
      </c>
      <c r="I133" s="135">
        <f>AVERAGE(I117,I119,I121,I123,I125,I127,I129)</f>
        <v>40.507564821292554</v>
      </c>
      <c r="J133" s="135">
        <f>STDEV(I117,I119,I121,I123,I125,I127,I129)</f>
        <v>0</v>
      </c>
      <c r="K133" s="135">
        <f>AVERAGE(K117,K119,K121,K123,K125,K127,K129)</f>
        <v>22.870012936527207</v>
      </c>
      <c r="L133" s="135">
        <f>STDEV(K117,K119,K121,K123,K125,K127,K129)</f>
        <v>3.8373693546654532E-15</v>
      </c>
      <c r="M133" s="135"/>
      <c r="N133" s="135"/>
      <c r="O133" s="135">
        <f>AVERAGE(O117,O119,O121,O123,O125,O127,O129)</f>
        <v>19.599999999999998</v>
      </c>
      <c r="P133" s="135">
        <f>STDEV(O117,O119,O121,O123,O125,O127,O129)</f>
        <v>3.8373693546654532E-15</v>
      </c>
      <c r="Q133" s="135">
        <f>AVERAGE(Q117,Q119,Q121,Q123,Q125,Q127,Q129)</f>
        <v>29.22275194727197</v>
      </c>
      <c r="R133" s="135">
        <f>STDEV(Q117,Q119,Q121,Q123,Q125,Q127,Q129)</f>
        <v>0</v>
      </c>
      <c r="S133" s="135">
        <f>AVERAGE(S117,S119,S121,S123,S125,S127,S129)</f>
        <v>31.860000000000007</v>
      </c>
      <c r="T133" s="135">
        <f>STDEV(S117,S119,S121,S123,S125,S127,S129)</f>
        <v>7.6747387093309063E-15</v>
      </c>
      <c r="V133" s="151" t="s">
        <v>330</v>
      </c>
      <c r="W133" s="143">
        <f>AVERAGE(E133,G133,K133,I133,M133,O133,Q133,S133)</f>
        <v>27.912904243584535</v>
      </c>
      <c r="X133" s="144">
        <f>STDEV(E133,G133,I133,K133,M133,O133,Q133,S133)</f>
        <v>7.6825610710154431</v>
      </c>
      <c r="Y133" s="145">
        <f>(X133/W133)*100</f>
        <v>27.523331158853498</v>
      </c>
    </row>
    <row r="134" spans="1:25" s="105" customFormat="1" ht="16.2" thickBot="1" x14ac:dyDescent="0.35">
      <c r="B134" s="334"/>
      <c r="C134" s="335"/>
      <c r="D134" s="23" t="s">
        <v>309</v>
      </c>
      <c r="E134" s="135"/>
      <c r="F134" s="135"/>
      <c r="G134" s="135">
        <f>AVERAGE(G118,G120,G122,G124,G126,G128,G130)</f>
        <v>31.729999999999997</v>
      </c>
      <c r="H134" s="135">
        <f>STDEV(G118,G120,G122,G124,G126,G128,G130)</f>
        <v>3.8373693546654532E-15</v>
      </c>
      <c r="I134" s="135">
        <f>AVERAGE(I118,I122,I124,I126,I128,I130)</f>
        <v>23.539565162877491</v>
      </c>
      <c r="J134" s="135">
        <f>STDEV(I118,I122,I124,I126,I128,I130)</f>
        <v>1.6559864977985423</v>
      </c>
      <c r="K134" s="135">
        <f>AVERAGE(K118,K120,K122,K124,K126,K128,K130)</f>
        <v>21.158979332135612</v>
      </c>
      <c r="L134" s="135">
        <f>STDEV(K118,K120,K122,K124,K126,K128,K130)</f>
        <v>0</v>
      </c>
      <c r="M134" s="135">
        <f>AVERAGE(M118,M120,M122,M124,M126,M128,M130)</f>
        <v>24.611586112231606</v>
      </c>
      <c r="N134" s="135">
        <f>STDEV(M118,M120,M122,M124,M126,M128,M130)</f>
        <v>0</v>
      </c>
      <c r="O134" s="135">
        <f>AVERAGE(O118,O120,O122,O124,O126,O128,O130)</f>
        <v>15.17</v>
      </c>
      <c r="P134" s="135">
        <f>STDEV(O118,O120,O122,O124,O126,O128,O130)</f>
        <v>0</v>
      </c>
      <c r="Q134" s="135">
        <f>AVERAGE(Q118,Q120,Q122,Q124,Q126,Q128,Q130)</f>
        <v>17.652616611272279</v>
      </c>
      <c r="R134" s="135">
        <f>STDEV(Q118,Q120,Q122,Q124,Q126,Q128,Q130)</f>
        <v>0</v>
      </c>
      <c r="S134" s="135">
        <f>AVERAGE(S118,S120,S122,S124,S126,S128,S130)</f>
        <v>19.95</v>
      </c>
      <c r="T134" s="135">
        <f>STDEV(S118,S120,S122,S124,S126,S128,S130)</f>
        <v>0</v>
      </c>
      <c r="V134" s="152" t="s">
        <v>309</v>
      </c>
      <c r="W134" s="146">
        <f>AVERAGE(E134,G134,K134,I134,M134,O134,Q134,S134)</f>
        <v>21.973249602645279</v>
      </c>
      <c r="X134" s="147">
        <f>STDEV(E134,G134,I134,K134,M134,O134,Q134,S134)</f>
        <v>5.39006790183572</v>
      </c>
      <c r="Y134" s="148">
        <f>(X134/W134)*100</f>
        <v>24.530135502519528</v>
      </c>
    </row>
    <row r="137" spans="1:25" ht="17.399999999999999" customHeight="1" x14ac:dyDescent="0.35">
      <c r="A137" s="321" t="s">
        <v>157</v>
      </c>
      <c r="B137" s="321"/>
      <c r="C137" s="321"/>
      <c r="D137" s="321"/>
      <c r="E137" s="321"/>
    </row>
    <row r="139" spans="1:25" x14ac:dyDescent="0.3">
      <c r="B139" s="344" t="s">
        <v>37</v>
      </c>
      <c r="C139" s="345"/>
      <c r="D139" s="23" t="s">
        <v>308</v>
      </c>
      <c r="E139" s="23" t="s">
        <v>309</v>
      </c>
    </row>
    <row r="140" spans="1:25" ht="15" customHeight="1" x14ac:dyDescent="0.3">
      <c r="B140" s="320" t="s">
        <v>69</v>
      </c>
      <c r="C140" s="320"/>
      <c r="D140" s="32">
        <f>IF($E$5 &lt; 18, (0.0009737*($E$5^5)-0.0561*($E$5^4)+1.1729*($E$5^3)-10.34*($E$5^2)+44.604 *$E$5+28.291)/1050, 0.26)</f>
        <v>0.26</v>
      </c>
      <c r="E140" s="27" t="s">
        <v>55</v>
      </c>
    </row>
    <row r="141" spans="1:25" ht="15" customHeight="1" x14ac:dyDescent="0.3">
      <c r="B141" s="320" t="s">
        <v>57</v>
      </c>
      <c r="C141" s="320"/>
      <c r="D141" s="27" t="s">
        <v>55</v>
      </c>
      <c r="E141" s="34">
        <f>IF($E$5 &lt;= 12, 0.02053*$R$17/100*($R$16^0.5+0.01266), 0.0154+0.00204*$R$16+0.0518*($R$17/100)^2*(0.02053*($R$17/100)*$R$16^0.5+0.01266)/(0.0154 + 0.00204 * $R$16+0.0518*($R$17/100)^2) )</f>
        <v>0.28539323630784497</v>
      </c>
    </row>
    <row r="142" spans="1:25" ht="15" customHeight="1" x14ac:dyDescent="0.3">
      <c r="B142" s="320" t="s">
        <v>65</v>
      </c>
      <c r="C142" s="320"/>
      <c r="D142" s="34">
        <f>0.05668 - 0.0004962 * $E$5 + 0.003501 * $Q$16</f>
        <v>0.31294658137415687</v>
      </c>
      <c r="E142" s="34">
        <f>0.0458676 - 0.0003957 * $E$5 + 0.0035115 * $R$16</f>
        <v>0.2579337083995607</v>
      </c>
    </row>
    <row r="143" spans="1:25" ht="15" customHeight="1" x14ac:dyDescent="0.3">
      <c r="B143" s="320" t="s">
        <v>102</v>
      </c>
      <c r="C143" s="320"/>
      <c r="D143" s="30">
        <f>(0.00726 - 0.0000000669 * ($Q$16*1000) + 0.000000000000333 * ($Q$16*1000)^2) * $Q$16</f>
        <v>0.32397668462304374</v>
      </c>
      <c r="E143" s="30">
        <f>(0.00726 - 0.0000000669 * ($R$16*1000) + 0.000000000000333 * ($R$16*1000)^2) * $R$16</f>
        <v>0.28355271026896428</v>
      </c>
    </row>
    <row r="144" spans="1:25" ht="15" customHeight="1" thickBot="1" x14ac:dyDescent="0.35">
      <c r="B144" s="320" t="s">
        <v>94</v>
      </c>
      <c r="C144" s="320"/>
      <c r="D144" s="35">
        <f>IF($E$5 &lt; 18, (0.0009737 * $E$5^5 - 0.0561*$E$5^4 + 1.1729*$E$5^3 - 10.34 *$E$5^2 + 44.604*$E$5 + 28.291)/1050, 0.26)</f>
        <v>0.26</v>
      </c>
      <c r="E144" s="32">
        <f>IF($E$5 &lt; 18, (0.0012676 * $E$5^5 - 0.066825 * $E$5^4 + 1.2345 * $E$5^3 - 9.4597 * $E$5^2 + 39.005 * $E$5 + 27.161)/1050, 0.24)</f>
        <v>0.24</v>
      </c>
    </row>
    <row r="145" spans="1:29" ht="15" customHeight="1" x14ac:dyDescent="0.3">
      <c r="B145" s="320" t="s">
        <v>77</v>
      </c>
      <c r="C145" s="320"/>
      <c r="D145" s="34">
        <f>(0.0042 + (0.00767 - 0.0042) * EXP(-0.218 * $E$5)) * $Q$16</f>
        <v>0.33720069829954968</v>
      </c>
      <c r="E145" s="34">
        <f>(0.0046 + (0.00709 - 0.0046) * EXP(-0.221 * $E$5))  * $R$16</f>
        <v>0.30372327223019907</v>
      </c>
      <c r="V145" s="357" t="s">
        <v>336</v>
      </c>
      <c r="W145" s="359" t="s">
        <v>325</v>
      </c>
      <c r="X145" s="360"/>
      <c r="Y145" s="361"/>
    </row>
    <row r="146" spans="1:29" ht="15" customHeight="1" thickBot="1" x14ac:dyDescent="0.35">
      <c r="B146" s="320" t="s">
        <v>59</v>
      </c>
      <c r="C146" s="320"/>
      <c r="D146" s="34">
        <f>((10.24 *($Q$17/100) * SQRT($Q$16 + 7.85) + (9.88 *($Q$17/100) * SQRT($Q$16) + 7.2)) / 1050)</f>
        <v>0.31272184247839685</v>
      </c>
      <c r="E146" s="34">
        <f>((10.65 * $R$17/100 * SQRT($R$16 + 6.11) + (9.88 * $R$17/100 * SQRT($R$16) + 6.55)) / 1050)</f>
        <v>0.27048138881427769</v>
      </c>
      <c r="V146" s="358"/>
      <c r="W146" s="153" t="s">
        <v>327</v>
      </c>
      <c r="X146" s="154" t="s">
        <v>328</v>
      </c>
      <c r="Y146" s="155" t="s">
        <v>329</v>
      </c>
    </row>
    <row r="147" spans="1:29" x14ac:dyDescent="0.3">
      <c r="B147" s="320" t="s">
        <v>90</v>
      </c>
      <c r="C147" s="320"/>
      <c r="D147" s="46">
        <f>IF($E$5 &lt; 18, (3.17*10^(-2) * ($E$5*365.25*24) + 1.44*10^(-2) * ($E$5*365.25*24)^(1.06) + 38) / 20000, 0.48)</f>
        <v>0.48</v>
      </c>
      <c r="E147" s="46">
        <f>IF($E$5 &lt; 18, (3.17*10^(-2) * ($E$5*365.25*24) + 1.44*10^(-2) * ($E$5*365.25*24)^(1.06) + 38) / 20000, 0.48)</f>
        <v>0.48</v>
      </c>
      <c r="V147" s="151" t="s">
        <v>330</v>
      </c>
      <c r="W147" s="143">
        <f>AVERAGE(D140:D148)</f>
        <v>0.34244559756763931</v>
      </c>
      <c r="X147" s="144">
        <f>STDEV((D140:D148))</f>
        <v>8.1764721286967185E-2</v>
      </c>
      <c r="Y147" s="145">
        <f>(X147/W147)*100</f>
        <v>23.876703881648574</v>
      </c>
    </row>
    <row r="148" spans="1:29" ht="16.2" thickBot="1" x14ac:dyDescent="0.35">
      <c r="B148" s="320" t="s">
        <v>64</v>
      </c>
      <c r="C148" s="320"/>
      <c r="D148" s="36">
        <f>EXP(-2.306 * (($Q$17/100)^(-1.93)))</f>
        <v>0.45271897376596726</v>
      </c>
      <c r="E148" s="36">
        <f>EXP(-2.306 * (($R$17/100)^(-1.93)))</f>
        <v>0.40519012688771361</v>
      </c>
      <c r="V148" s="152" t="s">
        <v>309</v>
      </c>
      <c r="W148" s="146">
        <f>AVERAGE(E140:E148)</f>
        <v>0.31578430536357005</v>
      </c>
      <c r="X148" s="147">
        <f>STDEV(E140:E148)</f>
        <v>8.2989210455914231E-2</v>
      </c>
      <c r="Y148" s="148">
        <f>(X148/W148)*100</f>
        <v>26.280346757691696</v>
      </c>
    </row>
    <row r="149" spans="1:29" ht="17.399999999999999" customHeight="1" x14ac:dyDescent="0.35">
      <c r="A149" s="321" t="s">
        <v>173</v>
      </c>
      <c r="B149" s="321"/>
      <c r="C149" s="321"/>
      <c r="D149" s="321"/>
      <c r="E149" s="321"/>
    </row>
    <row r="151" spans="1:29" ht="15" customHeight="1" x14ac:dyDescent="0.3">
      <c r="B151" s="320" t="s">
        <v>37</v>
      </c>
      <c r="C151" s="320"/>
      <c r="D151" s="320"/>
      <c r="E151" s="328" t="s">
        <v>62</v>
      </c>
      <c r="F151" s="328"/>
      <c r="G151" s="328" t="s">
        <v>69</v>
      </c>
      <c r="H151" s="328"/>
      <c r="I151" s="328" t="s">
        <v>57</v>
      </c>
      <c r="J151" s="328"/>
      <c r="K151" s="328" t="s">
        <v>90</v>
      </c>
      <c r="L151" s="328"/>
      <c r="M151" s="328" t="s">
        <v>77</v>
      </c>
      <c r="N151" s="328"/>
      <c r="O151" s="328" t="s">
        <v>65</v>
      </c>
      <c r="P151" s="328"/>
      <c r="Q151" s="328" t="s">
        <v>51</v>
      </c>
      <c r="R151" s="328"/>
      <c r="S151" s="328" t="s">
        <v>64</v>
      </c>
      <c r="T151" s="328"/>
      <c r="U151" s="328" t="s">
        <v>102</v>
      </c>
      <c r="V151" s="328"/>
      <c r="W151" s="328"/>
      <c r="X151" s="328" t="s">
        <v>54</v>
      </c>
      <c r="Y151" s="328"/>
      <c r="Z151" s="328" t="s">
        <v>94</v>
      </c>
      <c r="AA151" s="328"/>
      <c r="AB151" s="328" t="s">
        <v>59</v>
      </c>
      <c r="AC151" s="328"/>
    </row>
    <row r="152" spans="1:29" ht="15" customHeight="1" x14ac:dyDescent="0.3">
      <c r="B152" s="336" t="s">
        <v>323</v>
      </c>
      <c r="C152" s="336"/>
      <c r="D152" s="336"/>
      <c r="E152" s="328"/>
      <c r="F152" s="328"/>
      <c r="G152" s="328"/>
      <c r="H152" s="328"/>
      <c r="I152" s="328"/>
      <c r="J152" s="328"/>
      <c r="K152" s="328"/>
      <c r="L152" s="328"/>
      <c r="M152" s="328"/>
      <c r="N152" s="328"/>
      <c r="O152" s="328"/>
      <c r="P152" s="328"/>
      <c r="Q152" s="328"/>
      <c r="R152" s="328"/>
      <c r="S152" s="328"/>
      <c r="T152" s="328"/>
      <c r="U152" s="328"/>
      <c r="V152" s="328"/>
      <c r="W152" s="328"/>
      <c r="X152" s="328"/>
      <c r="Y152" s="328"/>
      <c r="Z152" s="328"/>
      <c r="AA152" s="328"/>
      <c r="AB152" s="328"/>
      <c r="AC152" s="328"/>
    </row>
    <row r="153" spans="1:29" ht="15" customHeight="1" x14ac:dyDescent="0.3">
      <c r="B153" s="323" t="s">
        <v>62</v>
      </c>
      <c r="C153" s="323"/>
      <c r="D153" s="25" t="s">
        <v>308</v>
      </c>
      <c r="E153" s="330">
        <f>IF($E$5 &lt;= 22, 0.05012*$Q$16^0.78, (1.07828 * $D$24 - 0.3457) * (0.05012*76.28^0.78 / (1.0728 * 1.99 - 0.3457)))</f>
        <v>1.4982076110657636</v>
      </c>
      <c r="F153" s="330"/>
      <c r="G153" s="338">
        <f>IF($E$5 &lt; 18, (0.0072 * $E$5^5 - 0.3975 * $E$5^4 + 7.9052 * $E$5^3 - 65.624 * $E$5^2 + 262.02 * $E$5 + 157.52) / 1050, 1.52)</f>
        <v>1.52</v>
      </c>
      <c r="H153" s="338"/>
      <c r="I153" s="343" t="s">
        <v>55</v>
      </c>
      <c r="J153" s="343"/>
      <c r="K153" s="312">
        <f>IF($E$5 &lt; 18, (2.79*10^-3 * ($E$5*365.25*24) + 1.1 * ($E$5*365.25*24)^(6.03*10^-1) + 1.6*10^2) / 1000, 2.1)</f>
        <v>2.1</v>
      </c>
      <c r="L153" s="312"/>
      <c r="M153" s="330">
        <f>(0.0247 + (0.0409 - 0.0247) * EXP(-0.218 * $E$5)) * $Q$16</f>
        <v>1.9830550152568103</v>
      </c>
      <c r="N153" s="330"/>
      <c r="O153" s="330">
        <f>-0.0143744 - 0.0044728 * $E$5 + 0.0264591 *$Q$16</f>
        <v>1.8862453469971303</v>
      </c>
      <c r="P153" s="330"/>
      <c r="Q153" s="315">
        <f>0.05012 * $Q$16^0.78</f>
        <v>1.5332905282199583</v>
      </c>
      <c r="R153" s="315"/>
      <c r="S153" s="330">
        <f>IF($E$5 &lt;= 22, 0.05012*$Q$16^0.78, (1.07828 * $D$24 - 0.3457) * (0.05012*77.06^0.78 / (1.0728 * 2 - 0.3457)))</f>
        <v>1.5011427906311621</v>
      </c>
      <c r="T153" s="330"/>
      <c r="U153" s="315">
        <f>(3.939*10^(-2) - 7.058*10^(-7) * $Q$16*1000 + 1.155*10^(-11) * ($Q$16 * 1000)^2 - 8.016*10^(-17) * ($Q$16 * 1000)^3 + 1.869*10^(-22) * ($Q$16 * 1000)^4) * $Q$16</f>
        <v>1.883112595679524</v>
      </c>
      <c r="V153" s="315"/>
      <c r="W153" s="315"/>
      <c r="X153" s="343" t="s">
        <v>55</v>
      </c>
      <c r="Y153" s="343"/>
      <c r="Z153" s="312">
        <f>IF($E$5 &lt; 18, (0.0072 * $E$5^5 - 0.3975 * $E$5^4 + 7.9052 * $E$5^3 - 65.624 * $E$5^2 + 262.02 * $E$5 + 157.52) / 1050, 1.52)</f>
        <v>1.52</v>
      </c>
      <c r="AA153" s="312"/>
      <c r="AB153" s="330">
        <f>(576.9 * $Q$17/100 + 8.9 * $Q$16 - 159.7) / 1050</f>
        <v>1.483972554317762</v>
      </c>
      <c r="AC153" s="330"/>
    </row>
    <row r="154" spans="1:29" ht="15" customHeight="1" x14ac:dyDescent="0.3">
      <c r="B154" s="323"/>
      <c r="C154" s="323"/>
      <c r="D154" s="25" t="s">
        <v>309</v>
      </c>
      <c r="E154" s="330">
        <f>IF($E$5 &lt;= 22, 0.05012*$R$16^0.78, (1.07828 * $E$24 - 0.3457) * (0.05012*61.91^0.78 / (1.0728 * 1.73 - 0.3457)) )</f>
        <v>1.2891594158087172</v>
      </c>
      <c r="F154" s="330"/>
      <c r="G154" s="343" t="s">
        <v>55</v>
      </c>
      <c r="H154" s="343"/>
      <c r="I154" s="330">
        <f>IF($E$5 &lt;= 22, 0.05012*$R$16^0.78, (1.07828 * $E$24 - 0.3457) * (0.05012*61.91^0.78 / (1.0728 * 1.73 - 0.3457)) )</f>
        <v>1.2891594158087172</v>
      </c>
      <c r="J154" s="330"/>
      <c r="K154" s="312">
        <f>IF($E$5 &lt; 18, (2.79*10^-3 * ($E$5*365.25*24) + 1.1 * ($E$5*365.25*24)^(6.03*10^-1) + 1.6*10^2) / 1000, 2.1)</f>
        <v>2.1</v>
      </c>
      <c r="L154" s="312"/>
      <c r="M154" s="330">
        <f>(0.0233 + (0.038 - 0.0233) * EXP(-0.122 * $E$5)) * $R$16</f>
        <v>1.5405880657272062</v>
      </c>
      <c r="N154" s="330"/>
      <c r="O154" s="330">
        <f>0.0017717 - 0.0030113 * $E$5 + 0.0253455 * $R$16</f>
        <v>1.524674525129166</v>
      </c>
      <c r="P154" s="330"/>
      <c r="Q154" s="315">
        <f>0.05012 * $R$16^0.78</f>
        <v>1.3164062489241561</v>
      </c>
      <c r="R154" s="315"/>
      <c r="S154" s="330">
        <f>IF($E$5 &lt;= 22, 0.05012*$R$16^0.78, (1.07828 * $E$24 - 0.3457) * (0.05012*61.96^0.78 / (1.0728 * 1.73 - 0.3457)) )</f>
        <v>1.289971445402053</v>
      </c>
      <c r="T154" s="330"/>
      <c r="U154" s="315">
        <f>(3.939*10^(-2) - 7.058*10^(-7) * $R$16*1000 + 1.155*10^(-11) * ($R$16 * 1000)^2 - 8.016*10^(-17) * ($R$16 * 1000)^3 + 1.869*10^(-22) * ($R$16 * 1000)^4) * $R$16</f>
        <v>1.5594958044639442</v>
      </c>
      <c r="V154" s="315"/>
      <c r="W154" s="315"/>
      <c r="X154" s="315">
        <f>0.0501 * $R$16</f>
        <v>3.3079141480330323</v>
      </c>
      <c r="Y154" s="315"/>
      <c r="Z154" s="312">
        <f>IF($E$5 &lt; 18, (0.0057 * $E$5^5 - 0.3396 * $E$5^4 + 7.0134 * $E$5^3 - 59.539 * $E$5^2 + 251.9 * $E$5 + 139.65) / 1050, 1.41)</f>
        <v>1.41</v>
      </c>
      <c r="AA154" s="312"/>
      <c r="AB154" s="330">
        <f>(674.3 * $R$17/100 + 6.5 * $R$16 - 214.4) / 1050</f>
        <v>1.2481436474131409</v>
      </c>
      <c r="AC154" s="330"/>
    </row>
    <row r="155" spans="1:29" ht="15" customHeight="1" x14ac:dyDescent="0.3">
      <c r="B155" s="323" t="s">
        <v>57</v>
      </c>
      <c r="C155" s="323"/>
      <c r="D155" s="25" t="s">
        <v>308</v>
      </c>
      <c r="E155" s="343" t="s">
        <v>55</v>
      </c>
      <c r="F155" s="343"/>
      <c r="G155" s="338">
        <f>IF($E$5 &lt; 18, (0.0072 * $E$5^5 - 0.3975 * $E$5^4 + 7.9052 * $E$5^3 - 65.624 * $E$5^2 + 262.02 * $E$5 + 157.52) / 1050, 1.52)</f>
        <v>1.52</v>
      </c>
      <c r="H155" s="338"/>
      <c r="I155" s="343" t="s">
        <v>55</v>
      </c>
      <c r="J155" s="343"/>
      <c r="K155" s="312">
        <f t="shared" ref="K155:K166" si="1">IF($E$5 &lt; 18, (2.79*10^-3 * ($E$5*365.25*24) + 1.1 * ($E$5*365.25*24)^(6.03*10^-1) + 1.6*10^2) / 1000, 2.1)</f>
        <v>2.1</v>
      </c>
      <c r="L155" s="312"/>
      <c r="M155" s="330">
        <f>(0.0233 + (0.038 - 0.0233) * EXP(-0.122 * $E$5)) * $Q$16</f>
        <v>1.8732794871769631</v>
      </c>
      <c r="N155" s="330"/>
      <c r="O155" s="330">
        <f>-0.0143744 - 0.0044728 * $E$5 + 0.0264591 *$Q$16</f>
        <v>1.8862453469971303</v>
      </c>
      <c r="P155" s="330"/>
      <c r="Q155" s="315">
        <f>0.05012 * $Q$16^0.78</f>
        <v>1.5332905282199583</v>
      </c>
      <c r="R155" s="315"/>
      <c r="S155" s="343" t="s">
        <v>55</v>
      </c>
      <c r="T155" s="343"/>
      <c r="U155" s="315">
        <f>(3.939*10^(-2) - 7.058*10^(-7) * $Q$16*1000 + 1.155*10^(-11) * ($Q$16 * 1000)^2 - 8.016*10^(-17) * ($Q$16 * 1000)^3 + 1.869*10^(-22) * ($Q$16 * 1000)^4) * $Q$16</f>
        <v>1.883112595679524</v>
      </c>
      <c r="V155" s="315"/>
      <c r="W155" s="315"/>
      <c r="X155" s="343" t="s">
        <v>55</v>
      </c>
      <c r="Y155" s="343"/>
      <c r="Z155" s="312">
        <f>IF($E$5 &lt; 18, (0.0072 * $E$5^5 - 0.3975 * $E$5^4 + 7.9052 * $E$5^3 - 65.624 * $E$5^2 + 262.02 * $E$5 + 157.52) / 1050, 1.52)</f>
        <v>1.52</v>
      </c>
      <c r="AA155" s="312"/>
      <c r="AB155" s="330">
        <f>(576.9 * $Q$17/100 + 8.9 * $Q$16 - 159.7) / 1050</f>
        <v>1.483972554317762</v>
      </c>
      <c r="AC155" s="330"/>
    </row>
    <row r="156" spans="1:29" ht="15" customHeight="1" x14ac:dyDescent="0.3">
      <c r="B156" s="323"/>
      <c r="C156" s="323"/>
      <c r="D156" s="25" t="s">
        <v>309</v>
      </c>
      <c r="E156" s="330">
        <f>IF($E$5 &lt;= 22, 0.05012*$R$16^0.78, (1.07828 * $E$25 - 0.3457) * (0.05012*61.91^0.78 / (1.0728 * 1.73 - 0.3457))   )</f>
        <v>1.2711053861868038</v>
      </c>
      <c r="F156" s="330"/>
      <c r="G156" s="343" t="s">
        <v>55</v>
      </c>
      <c r="H156" s="343"/>
      <c r="I156" s="330">
        <f>IF($E$5 &lt;= 22, 0.05012*$R$16^0.78, (1.07828 * $E$25 - 0.3457) * (0.05012*61.91^0.78 / (1.0728 * 1.73 - 0.3457))   )</f>
        <v>1.2711053861868038</v>
      </c>
      <c r="J156" s="330"/>
      <c r="K156" s="312">
        <f t="shared" si="1"/>
        <v>2.1</v>
      </c>
      <c r="L156" s="312"/>
      <c r="M156" s="330">
        <f>(0.0233 + (0.038 - 0.0233) * EXP(-0.122 * $E$5)) * $R$16</f>
        <v>1.5405880657272062</v>
      </c>
      <c r="N156" s="330"/>
      <c r="O156" s="330">
        <f>0.0017717 - 0.0030113 * $E$5 + 0.0253455 * $R$16</f>
        <v>1.524674525129166</v>
      </c>
      <c r="P156" s="330"/>
      <c r="Q156" s="315">
        <f>0.05012 * $R$16^0.78</f>
        <v>1.3164062489241561</v>
      </c>
      <c r="R156" s="315"/>
      <c r="S156" s="330">
        <f>IF($E$5 &lt;= 22, 0.05012*$R$16^0.78, (1.07828 * $E$25 - 0.3457) * (0.05012*61.96^0.78 / (1.0728 * 1.71 - 0.3457))   )</f>
        <v>1.2902364010742851</v>
      </c>
      <c r="T156" s="330"/>
      <c r="U156" s="315">
        <f>(3.939*10^(-2) - 7.058*10^(-7) * $R$16*1000 + 1.155*10^(-11) * ($R$16 * 1000)^2 - 8.016*10^(-17) * ($R$16 * 1000)^3 + 1.869*10^(-22) * ($R$16 * 1000)^4) * $R$16</f>
        <v>1.5594958044639442</v>
      </c>
      <c r="V156" s="315"/>
      <c r="W156" s="315"/>
      <c r="X156" s="315">
        <f>0.0501 * $R$16</f>
        <v>3.3079141480330323</v>
      </c>
      <c r="Y156" s="315"/>
      <c r="Z156" s="312">
        <f>IF($E$5 &lt; 18, (0.0057 * $E$5^5 - 0.3396 * $E$5^4 + 7.0134 * $E$5^3 - 59.539 * $E$5^2 + 251.9 * $E$5 + 139.65) / 1050, 1.41)</f>
        <v>1.41</v>
      </c>
      <c r="AA156" s="312"/>
      <c r="AB156" s="330">
        <f>(674.3 * $R$17/100 + 6.5 * $R$16 - 214.4) / 1050</f>
        <v>1.2481436474131409</v>
      </c>
      <c r="AC156" s="330"/>
    </row>
    <row r="157" spans="1:29" ht="15" customHeight="1" x14ac:dyDescent="0.3">
      <c r="B157" s="323" t="s">
        <v>65</v>
      </c>
      <c r="C157" s="323"/>
      <c r="D157" s="25" t="s">
        <v>308</v>
      </c>
      <c r="E157" s="330">
        <f>IF($E$5 &lt;= 22, 0.05012*$Q$16^0.78, (1.07828 * $D$26 - 0.3457) * (0.05012*76.28^0.78 / (1.0728 * 1.96 - 0.3457)) )</f>
        <v>1.4734759539727005</v>
      </c>
      <c r="F157" s="330"/>
      <c r="G157" s="338">
        <f>IF($E$5 &lt; 18, (0.0072 * $E$5^5 - 0.3975 * $E$5^4 + 7.9052 * $E$5^3 - 65.624 * $E$5^2 + 262.02 * $E$5 + 157.52) / 1050, 1.52)</f>
        <v>1.52</v>
      </c>
      <c r="H157" s="338"/>
      <c r="I157" s="343" t="s">
        <v>55</v>
      </c>
      <c r="J157" s="343"/>
      <c r="K157" s="312">
        <f t="shared" si="1"/>
        <v>2.1</v>
      </c>
      <c r="L157" s="312"/>
      <c r="M157" s="330">
        <f>(0.0233 + (0.038 - 0.0233) * EXP(-0.122 * $E$5)) * $Q$16</f>
        <v>1.8732794871769631</v>
      </c>
      <c r="N157" s="330"/>
      <c r="O157" s="330">
        <f>-0.0143744 - 0.0044728 * $E$5 + 0.0264591 *$Q$16</f>
        <v>1.8862453469971303</v>
      </c>
      <c r="P157" s="330"/>
      <c r="Q157" s="315">
        <f>0.05012 * $Q$16^0.78</f>
        <v>1.5332905282199583</v>
      </c>
      <c r="R157" s="315"/>
      <c r="S157" s="330">
        <f>IF($E$5 &lt;= 22, 0.05012*$Q$16^0.78, (1.07828 * $D$26 - 0.3457) * (0.05012*77.06^0.78 / (1.0728 * 1.97 - 0.3457)) )</f>
        <v>1.476201509938903</v>
      </c>
      <c r="T157" s="330"/>
      <c r="U157" s="315">
        <f>(3.939*10^(-2) - 7.058*10^(-7) * $Q$16*1000 + 1.155*10^(-11) * ($Q$16 * 1000)^2 - 8.016*10^(-17) * ($Q$16 * 1000)^3 + 1.869*10^(-22) * ($Q$16 * 1000)^4) * $Q$16</f>
        <v>1.883112595679524</v>
      </c>
      <c r="V157" s="315"/>
      <c r="W157" s="315"/>
      <c r="X157" s="343" t="s">
        <v>55</v>
      </c>
      <c r="Y157" s="343"/>
      <c r="Z157" s="312">
        <f>IF($E$5 &lt; 18, (0.0072 * $E$5^5 - 0.3975 * $E$5^4 + 7.9052 * $E$5^3 - 65.624 * $E$5^2 + 262.02 * $E$5 + 157.52) / 1050, 1.52)</f>
        <v>1.52</v>
      </c>
      <c r="AA157" s="312"/>
      <c r="AB157" s="330">
        <f>(576.9 * $Q$17/100 + 8.9 * $Q$16 - 159.7) / 1050</f>
        <v>1.483972554317762</v>
      </c>
      <c r="AC157" s="330"/>
    </row>
    <row r="158" spans="1:29" ht="15" customHeight="1" x14ac:dyDescent="0.3">
      <c r="B158" s="323"/>
      <c r="C158" s="323"/>
      <c r="D158" s="25" t="s">
        <v>309</v>
      </c>
      <c r="E158" s="330">
        <f>IF($E$5 &lt;= 22, 0.05012*$R$16^0.78, (1.07828 * $E$26 - 0.3457) * (0.05012*61.91^0.78 / (1.0728 * 1.7 - 0.3457))  )</f>
        <v>1.2676394457901294</v>
      </c>
      <c r="F158" s="330"/>
      <c r="G158" s="343" t="s">
        <v>55</v>
      </c>
      <c r="H158" s="343"/>
      <c r="I158" s="330">
        <f>IF($E$5 &lt;= 22, 0.05012*$R$16^0.78, (1.07828 * $E$26 - 0.3457) * (0.05012*61.91^0.78 / (1.0728 * 1.7 - 0.3457))  )</f>
        <v>1.2676394457901294</v>
      </c>
      <c r="J158" s="330"/>
      <c r="K158" s="312">
        <f t="shared" si="1"/>
        <v>2.1</v>
      </c>
      <c r="L158" s="312"/>
      <c r="M158" s="330">
        <f>(0.0233 + (0.038 - 0.0233) * EXP(-0.122 * $E$5)) * $R$16</f>
        <v>1.5405880657272062</v>
      </c>
      <c r="N158" s="330"/>
      <c r="O158" s="330">
        <f>0.0017717 - 0.0030113 * $E$5 + 0.0253455 * $R$16</f>
        <v>1.524674525129166</v>
      </c>
      <c r="P158" s="330"/>
      <c r="Q158" s="315">
        <f>0.05012 * $R$16^0.78</f>
        <v>1.3164062489241561</v>
      </c>
      <c r="R158" s="315"/>
      <c r="S158" s="330">
        <f>IF($E$5 &lt;= 22, 0.05012*$R$16^0.78, (1.07828 * $E$26 - 0.3457) * (0.05012*61.96^0.78 / (1.0728 * 1.7 - 0.3457))  )</f>
        <v>1.268437920153376</v>
      </c>
      <c r="T158" s="330"/>
      <c r="U158" s="315">
        <f>(3.939*10^(-2) - 7.058*10^(-7) * $R$16*1000 + 1.155*10^(-11) * ($R$16 * 1000)^2 - 8.016*10^(-17) * ($R$16 * 1000)^3 + 1.869*10^(-22) * ($R$16 * 1000)^4) * $R$16</f>
        <v>1.5594958044639442</v>
      </c>
      <c r="V158" s="315"/>
      <c r="W158" s="315"/>
      <c r="X158" s="315">
        <f>0.0501 * $R$16</f>
        <v>3.3079141480330323</v>
      </c>
      <c r="Y158" s="315"/>
      <c r="Z158" s="312">
        <f>IF($E$5 &lt; 18, (0.0057 * $E$5^5 - 0.3396 * $E$5^4 + 7.0134 * $E$5^3 - 59.539 * $E$5^2 + 251.9 * $E$5 + 139.65) / 1050, 1.41)</f>
        <v>1.41</v>
      </c>
      <c r="AA158" s="312"/>
      <c r="AB158" s="330">
        <f>(674.3 * $R$17/100 + 6.5 * $R$16 - 214.4) / 1050</f>
        <v>1.2481436474131409</v>
      </c>
      <c r="AC158" s="330"/>
    </row>
    <row r="159" spans="1:29" ht="15" customHeight="1" x14ac:dyDescent="0.3">
      <c r="B159" s="323" t="s">
        <v>51</v>
      </c>
      <c r="C159" s="323"/>
      <c r="D159" s="25" t="s">
        <v>308</v>
      </c>
      <c r="E159" s="330">
        <f>IF($E$5 &lt;= 22, 0.05012*$Q$16^0.78, (1.07828 * $D$27 - 0.3457) * (0.05012*76.28^0.78 / (1.0728 * 1.96 - 0.3457)) )</f>
        <v>1.5025763909799472</v>
      </c>
      <c r="F159" s="330"/>
      <c r="G159" s="338">
        <f>IF($E$5 &lt; 18, (0.0072 * $E$5^5 - 0.3975 * $E$5^4 + 7.9052 * $E$5^3 - 65.624 * $E$5^2 + 262.02 * $E$5 + 157.52) / 1050, 1.52)</f>
        <v>1.52</v>
      </c>
      <c r="H159" s="338"/>
      <c r="I159" s="343" t="s">
        <v>55</v>
      </c>
      <c r="J159" s="343"/>
      <c r="K159" s="312">
        <f t="shared" si="1"/>
        <v>2.1</v>
      </c>
      <c r="L159" s="312"/>
      <c r="M159" s="330">
        <f>(0.0233 + (0.038 - 0.0233) * EXP(-0.122 * $E$5)) * $Q$16</f>
        <v>1.8732794871769631</v>
      </c>
      <c r="N159" s="330"/>
      <c r="O159" s="330">
        <f>-0.0143744 - 0.0044728 * $E$5 + 0.0264591 *$Q$16</f>
        <v>1.8862453469971303</v>
      </c>
      <c r="P159" s="330"/>
      <c r="Q159" s="315">
        <f>0.05012 * $Q$16^0.78</f>
        <v>1.5332905282199583</v>
      </c>
      <c r="R159" s="315"/>
      <c r="S159" s="330">
        <f>IF($E$5 &lt;= 22, 0.05012*$Q$16^0.78, (1.07828 * $D$27 - 0.3457) * (0.05012*77.06^0.78 / (1.0728 * 1.97 - 0.3457)) )</f>
        <v>1.5053557753574589</v>
      </c>
      <c r="T159" s="330"/>
      <c r="U159" s="315">
        <f>(3.939*10^(-2) - 7.058*10^(-7) * $Q$16*1000 + 1.155*10^(-11) * ($Q$16 * 1000)^2 - 8.016*10^(-17) * ($Q$16 * 1000)^3 + 1.869*10^(-22) * ($Q$16 * 1000)^4) * $Q$16</f>
        <v>1.883112595679524</v>
      </c>
      <c r="V159" s="315"/>
      <c r="W159" s="315"/>
      <c r="X159" s="343" t="s">
        <v>55</v>
      </c>
      <c r="Y159" s="343"/>
      <c r="Z159" s="312">
        <f>IF($E$5 &lt; 18, (0.0072 * $E$5^5 - 0.3975 * $E$5^4 + 7.9052 * $E$5^3 - 65.624 * $E$5^2 + 262.02 * $E$5 + 157.52) / 1050, 1.52)</f>
        <v>1.52</v>
      </c>
      <c r="AA159" s="312"/>
      <c r="AB159" s="330">
        <f>(576.9 * $Q$17/100 + 8.9 * $Q$16 - 159.7) / 1050</f>
        <v>1.483972554317762</v>
      </c>
      <c r="AC159" s="330"/>
    </row>
    <row r="160" spans="1:29" ht="15" customHeight="1" x14ac:dyDescent="0.3">
      <c r="B160" s="323"/>
      <c r="C160" s="323"/>
      <c r="D160" s="25" t="s">
        <v>309</v>
      </c>
      <c r="E160" s="330">
        <f>IF($E$5 &lt;= 22, 0.05012*$R$16^0.78, (1.07828 * $E$27 - 0.3457)* (0.05012*61.91^0.78 / (1.0728 * 1.71 - 0.3457))  )</f>
        <v>1.2887518097116453</v>
      </c>
      <c r="F160" s="330"/>
      <c r="G160" s="343" t="s">
        <v>55</v>
      </c>
      <c r="H160" s="343"/>
      <c r="I160" s="330">
        <f>IF($E$5 &lt;= 22, 0.05012*$R$16^0.78, (1.07828 * $E$27 - 0.3457)* (0.05012*61.91^0.78 / (1.0728 * 1.71 - 0.3457))  )</f>
        <v>1.2887518097116453</v>
      </c>
      <c r="J160" s="330"/>
      <c r="K160" s="312">
        <f t="shared" si="1"/>
        <v>2.1</v>
      </c>
      <c r="L160" s="312"/>
      <c r="M160" s="330">
        <f>(0.0233 + (0.038 - 0.0233) * EXP(-0.122 * $E$5)) * $R$16</f>
        <v>1.5405880657272062</v>
      </c>
      <c r="N160" s="330"/>
      <c r="O160" s="330">
        <f>0.0017717 - 0.0030113 * $E$5 + 0.0253455 * $R$16</f>
        <v>1.524674525129166</v>
      </c>
      <c r="P160" s="330"/>
      <c r="Q160" s="315">
        <f>0.05012 * $R$16^0.78</f>
        <v>1.3164062489241561</v>
      </c>
      <c r="R160" s="315"/>
      <c r="S160" s="330">
        <f>IF($E$5 &lt;= 22, 0.05012*$R$16^0.78, (1.07828 * $E$27 - 0.3457)* (0.05012*61.96^0.78 / (1.0728 * 1.71 - 0.3457))  )</f>
        <v>1.2895635825576701</v>
      </c>
      <c r="T160" s="330"/>
      <c r="U160" s="315">
        <f>(3.939*10^(-2) - 7.058*10^(-7) * $R$16*1000 + 1.155*10^(-11) * ($R$16 * 1000)^2 - 8.016*10^(-17) * ($R$16 * 1000)^3 + 1.869*10^(-22) * ($R$16 * 1000)^4) * $R$16</f>
        <v>1.5594958044639442</v>
      </c>
      <c r="V160" s="315"/>
      <c r="W160" s="315"/>
      <c r="X160" s="315">
        <f>0.0501 * $R$16</f>
        <v>3.3079141480330323</v>
      </c>
      <c r="Y160" s="315"/>
      <c r="Z160" s="312">
        <f>IF($E$5 &lt; 18, (0.0057 * $E$5^5 - 0.3396 * $E$5^4 + 7.0134 * $E$5^3 - 59.539 * $E$5^2 + 251.9 * $E$5 + 139.65) / 1050, 1.41)</f>
        <v>1.41</v>
      </c>
      <c r="AA160" s="312"/>
      <c r="AB160" s="330">
        <f>(674.3 * $R$17/100 + 6.5 * $R$16 - 214.4) / 1050</f>
        <v>1.2481436474131409</v>
      </c>
      <c r="AC160" s="330"/>
    </row>
    <row r="161" spans="1:34" ht="15" customHeight="1" x14ac:dyDescent="0.3">
      <c r="B161" s="323" t="s">
        <v>64</v>
      </c>
      <c r="C161" s="323"/>
      <c r="D161" s="25" t="s">
        <v>308</v>
      </c>
      <c r="E161" s="330">
        <f>IF($E$5 &lt;= 22, 0.05012*$Q$16^0.78, (1.07828 * $D$28 - 0.3457)  * (0.05012*76.28^0.78 / (1.0728 * 1.99 - 0.3457)) )</f>
        <v>1.4982076110657636</v>
      </c>
      <c r="F161" s="330"/>
      <c r="G161" s="338">
        <f>IF($E$5 &lt; 18, (0.0072 * $E$5^5 - 0.3975 * $E$5^4 + 7.9052 * $E$5^3 - 65.624 * $E$5^2 + 262.02 * $E$5 + 157.52) / 1050, 1.52)</f>
        <v>1.52</v>
      </c>
      <c r="H161" s="338"/>
      <c r="I161" s="343" t="s">
        <v>55</v>
      </c>
      <c r="J161" s="343"/>
      <c r="K161" s="312">
        <f t="shared" si="1"/>
        <v>2.1</v>
      </c>
      <c r="L161" s="312"/>
      <c r="M161" s="330">
        <f>(0.0233 + (0.038 - 0.0233) * EXP(-0.122 * $E$5)) * $Q$16</f>
        <v>1.8732794871769631</v>
      </c>
      <c r="N161" s="330"/>
      <c r="O161" s="330">
        <f>-0.0143744 - 0.0044728 * $E$5 + 0.0264591 *$Q$16</f>
        <v>1.8862453469971303</v>
      </c>
      <c r="P161" s="330"/>
      <c r="Q161" s="315">
        <f>0.05012 * $Q$16^0.78</f>
        <v>1.5332905282199583</v>
      </c>
      <c r="R161" s="315"/>
      <c r="S161" s="330">
        <f>IF($E$5 &lt;= 22, 0.05012*$Q$16^0.78, (1.07828 * $D$28 - 0.3457)  * (0.05012*77.06^0.78 / (1.0728 * 2 - 0.3457)) )</f>
        <v>1.5011427906311621</v>
      </c>
      <c r="T161" s="330"/>
      <c r="U161" s="315">
        <f>(3.939*10^(-2) - 7.058*10^(-7) * $Q$16*1000 + 1.155*10^(-11) * ($Q$16 * 1000)^2 - 8.016*10^(-17) * ($Q$16 * 1000)^3 + 1.869*10^(-22) * ($Q$16 * 1000)^4) * $Q$16</f>
        <v>1.883112595679524</v>
      </c>
      <c r="V161" s="315"/>
      <c r="W161" s="315"/>
      <c r="X161" s="343" t="s">
        <v>55</v>
      </c>
      <c r="Y161" s="343"/>
      <c r="Z161" s="312">
        <f>IF($E$5 &lt; 18, (0.0072 * $E$5^5 - 0.3975 * $E$5^4 + 7.9052 * $E$5^3 - 65.624 * $E$5^2 + 262.02 * $E$5 + 157.52) / 1050, 1.52)</f>
        <v>1.52</v>
      </c>
      <c r="AA161" s="312"/>
      <c r="AB161" s="330">
        <f>(576.9 * $Q$17/100 + 8.9 * $Q$16 - 159.7) / 1050</f>
        <v>1.483972554317762</v>
      </c>
      <c r="AC161" s="330"/>
    </row>
    <row r="162" spans="1:34" ht="15" customHeight="1" x14ac:dyDescent="0.3">
      <c r="B162" s="323"/>
      <c r="C162" s="323"/>
      <c r="D162" s="25" t="s">
        <v>309</v>
      </c>
      <c r="E162" s="330">
        <f>IF($E$5 &lt;= 22, 0.05012*$R$16^0.78, (1.07828 * $E$28 - 0.3457)* (0.05012*61.91^0.78 / (1.0728 * 1.73 - 0.3457))   )</f>
        <v>1.2891594158087172</v>
      </c>
      <c r="F162" s="330"/>
      <c r="G162" s="343" t="s">
        <v>55</v>
      </c>
      <c r="H162" s="343"/>
      <c r="I162" s="330">
        <f>IF($E$5 &lt;= 22, 0.05012*$R$16^0.78, (1.07828 * $E$28 - 0.3457)* (0.05012*61.91^0.78 / (1.0728 * 1.73 - 0.3457))   )</f>
        <v>1.2891594158087172</v>
      </c>
      <c r="J162" s="330"/>
      <c r="K162" s="312">
        <f t="shared" si="1"/>
        <v>2.1</v>
      </c>
      <c r="L162" s="312"/>
      <c r="M162" s="330">
        <f>(0.0233 + (0.038 - 0.0233) * EXP(-0.122 * $E$5)) * $R$16</f>
        <v>1.5405880657272062</v>
      </c>
      <c r="N162" s="330"/>
      <c r="O162" s="330">
        <f>0.0017717 - 0.0030113 * $E$5 + 0.0253455 * $R$16</f>
        <v>1.524674525129166</v>
      </c>
      <c r="P162" s="330"/>
      <c r="Q162" s="315">
        <f>0.05012 * $R$16^0.78</f>
        <v>1.3164062489241561</v>
      </c>
      <c r="R162" s="315"/>
      <c r="S162" s="330">
        <f>IF($E$5 &lt;= 22, 0.05012*$R$16^0.78, (1.07828 * $E$28 - 0.3457)* (0.05012*61.96^0.78 / (1.0728 * 1.73 - 0.3457))   )</f>
        <v>1.289971445402053</v>
      </c>
      <c r="T162" s="330"/>
      <c r="U162" s="315">
        <f>(3.939*10^(-2) - 7.058*10^(-7) * $R$16*1000 + 1.155*10^(-11) * ($R$16 * 1000)^2 - 8.016*10^(-17) * ($R$16 * 1000)^3 + 1.869*10^(-22) * ($R$16 * 1000)^4) * $R$16</f>
        <v>1.5594958044639442</v>
      </c>
      <c r="V162" s="315"/>
      <c r="W162" s="315"/>
      <c r="X162" s="315">
        <f>0.0501 * $R$16</f>
        <v>3.3079141480330323</v>
      </c>
      <c r="Y162" s="315"/>
      <c r="Z162" s="312">
        <f>IF($E$5 &lt; 18, (0.0057 * $E$5^5 - 0.3396 * $E$5^4 + 7.0134 * $E$5^3 - 59.539 * $E$5^2 + 251.9 * $E$5 + 139.65) / 1050, 1.41)</f>
        <v>1.41</v>
      </c>
      <c r="AA162" s="312"/>
      <c r="AB162" s="330">
        <f>(674.3 * $R$17/100 + 6.5 * $R$16 - 214.4) / 1050</f>
        <v>1.2481436474131409</v>
      </c>
      <c r="AC162" s="330"/>
    </row>
    <row r="163" spans="1:34" ht="15" customHeight="1" x14ac:dyDescent="0.3">
      <c r="B163" s="323" t="s">
        <v>54</v>
      </c>
      <c r="C163" s="323"/>
      <c r="D163" s="25" t="s">
        <v>308</v>
      </c>
      <c r="E163" s="343" t="s">
        <v>55</v>
      </c>
      <c r="F163" s="343"/>
      <c r="G163" s="338">
        <f>IF($E$5 &lt; 18, (0.0072 * $E$5^5 - 0.3975 * $E$5^4 + 7.9052 * $E$5^3 - 65.624 * $E$5^2 + 262.02 * $E$5 + 157.52) / 1050, 1.52)</f>
        <v>1.52</v>
      </c>
      <c r="H163" s="338"/>
      <c r="I163" s="343" t="s">
        <v>55</v>
      </c>
      <c r="J163" s="343"/>
      <c r="K163" s="312">
        <f t="shared" si="1"/>
        <v>2.1</v>
      </c>
      <c r="L163" s="312"/>
      <c r="M163" s="330">
        <f>(0.0233 + (0.038 - 0.0233) * EXP(-0.122 * $E$5)) * $Q$16</f>
        <v>1.8732794871769631</v>
      </c>
      <c r="N163" s="330"/>
      <c r="O163" s="330">
        <f>-0.0143744 - 0.0044728 * $E$5 + 0.0264591 *$Q$16</f>
        <v>1.8862453469971303</v>
      </c>
      <c r="P163" s="330"/>
      <c r="Q163" s="315">
        <f>0.05012 * $Q$16^0.78</f>
        <v>1.5332905282199583</v>
      </c>
      <c r="R163" s="315"/>
      <c r="S163" s="343" t="s">
        <v>55</v>
      </c>
      <c r="T163" s="343"/>
      <c r="U163" s="315">
        <f>(3.939*10^(-2) - 7.058*10^(-7) * $Q$16*1000 + 1.155*10^(-11) * ($Q$16 * 1000)^2 - 8.016*10^(-17) * ($Q$16 * 1000)^3 + 1.869*10^(-22) * ($Q$16 * 1000)^4) * $Q$16</f>
        <v>1.883112595679524</v>
      </c>
      <c r="V163" s="315"/>
      <c r="W163" s="315"/>
      <c r="X163" s="343" t="s">
        <v>55</v>
      </c>
      <c r="Y163" s="343"/>
      <c r="Z163" s="312">
        <f>IF($E$5 &lt; 18, (0.0072 * $E$5^5 - 0.3975 * $E$5^4 + 7.9052 * $E$5^3 - 65.624 * $E$5^2 + 262.02 * $E$5 + 157.52) / 1050, 1.52)</f>
        <v>1.52</v>
      </c>
      <c r="AA163" s="312"/>
      <c r="AB163" s="330">
        <f>(576.9 * $Q$17/100 + 8.9 * $Q$16 - 159.7) / 1050</f>
        <v>1.483972554317762</v>
      </c>
      <c r="AC163" s="330"/>
    </row>
    <row r="164" spans="1:34" ht="15" customHeight="1" x14ac:dyDescent="0.3">
      <c r="B164" s="323"/>
      <c r="C164" s="323"/>
      <c r="D164" s="25" t="s">
        <v>309</v>
      </c>
      <c r="E164" s="330">
        <f>IF($E$5 &lt;= 22, 0.05012*$R$16^0.78, (1.07828 * $E$29 - 0.3457) * (0.05012*61.91^0.78 / (1.0728 * 1.71 - 0.3457))   )</f>
        <v>1.2887518097116453</v>
      </c>
      <c r="F164" s="330"/>
      <c r="G164" s="343" t="s">
        <v>55</v>
      </c>
      <c r="H164" s="343"/>
      <c r="I164" s="330">
        <f>IF($E$5 &lt;= 22, 0.05012*$R$16^0.78, (1.07828 * $E$29 - 0.3457) * (0.05012*61.91^0.78 / (1.0728 * 1.71 - 0.3457))   )</f>
        <v>1.2887518097116453</v>
      </c>
      <c r="J164" s="330"/>
      <c r="K164" s="312">
        <f t="shared" si="1"/>
        <v>2.1</v>
      </c>
      <c r="L164" s="312"/>
      <c r="M164" s="330">
        <f>(0.0233 + (0.038 - 0.0233) * EXP(-0.122 * $E$5)) * $R$16</f>
        <v>1.5405880657272062</v>
      </c>
      <c r="N164" s="330"/>
      <c r="O164" s="330">
        <f>0.0017717 - 0.0030113 * $E$5 + 0.0253455 * $R$16</f>
        <v>1.524674525129166</v>
      </c>
      <c r="P164" s="330"/>
      <c r="Q164" s="315">
        <f>0.05012 * $R$16^0.78</f>
        <v>1.3164062489241561</v>
      </c>
      <c r="R164" s="315"/>
      <c r="S164" s="330">
        <f>IF($E$5 &lt;= 22, 0.05012*$R$16^0.78, (1.07828 * $E$29 - 0.3457) * (0.05012*61.96^0.78 / (1.0728 * 1.71 - 0.3457))   )</f>
        <v>1.2895635825576701</v>
      </c>
      <c r="T164" s="330"/>
      <c r="U164" s="315">
        <f>(3.939*10^(-2) - 7.058*10^(-7) * $R$16*1000 + 1.155*10^(-11) * ($R$16 * 1000)^2 - 8.016*10^(-17) * ($R$16 * 1000)^3 + 1.869*10^(-22) * ($R$16 * 1000)^4) * $R$16</f>
        <v>1.5594958044639442</v>
      </c>
      <c r="V164" s="315"/>
      <c r="W164" s="315"/>
      <c r="X164" s="315">
        <f>0.0501 * $R$16</f>
        <v>3.3079141480330323</v>
      </c>
      <c r="Y164" s="315"/>
      <c r="Z164" s="312">
        <f>IF($E$5 &lt; 18, (0.0057 * $E$5^5 - 0.3396 * $E$5^4 + 7.0134 * $E$5^3 - 59.539 * $E$5^2 + 251.9 * $E$5 + 139.65) / 1050, 1.41)</f>
        <v>1.41</v>
      </c>
      <c r="AA164" s="312"/>
      <c r="AB164" s="330">
        <f>(674.3 * $R$17/100 + 6.5 * $R$16 - 214.4) / 1050</f>
        <v>1.2481436474131409</v>
      </c>
      <c r="AC164" s="330"/>
    </row>
    <row r="165" spans="1:34" ht="15" customHeight="1" x14ac:dyDescent="0.3">
      <c r="B165" s="323" t="s">
        <v>59</v>
      </c>
      <c r="C165" s="323"/>
      <c r="D165" s="25" t="s">
        <v>308</v>
      </c>
      <c r="E165" s="330">
        <f>IF($E$5 &lt;= 22, 0.05012*$Q$16^0.78, (1.07828 * $D$30 - 0.3457) * (0.05012*76.28^0.78 / (1.0728 * 1.95 - 0.3457)) )</f>
        <v>1.4999833296127565</v>
      </c>
      <c r="F165" s="330"/>
      <c r="G165" s="338">
        <f>IF($E$5 &lt; 18, (0.0072 * $E$5^5 - 0.3975 * $E$5^4 + 7.9052 * $E$5^3 - 65.624 * $E$5^2 + 262.02 * $E$5 + 157.52) / 1050, 1.52)</f>
        <v>1.52</v>
      </c>
      <c r="H165" s="338"/>
      <c r="I165" s="343" t="s">
        <v>55</v>
      </c>
      <c r="J165" s="343"/>
      <c r="K165" s="312">
        <f t="shared" si="1"/>
        <v>2.1</v>
      </c>
      <c r="L165" s="312"/>
      <c r="M165" s="330">
        <f>(0.0233 + (0.038 - 0.0233) * EXP(-0.122 * $E$5)) * $Q$16</f>
        <v>1.8732794871769631</v>
      </c>
      <c r="N165" s="330"/>
      <c r="O165" s="330">
        <f>-0.0143744 - 0.0044728 * $E$5 + 0.0264591 *$Q$16</f>
        <v>1.8862453469971303</v>
      </c>
      <c r="P165" s="330"/>
      <c r="Q165" s="315">
        <f>0.05012 * $Q$16^0.78</f>
        <v>1.5332905282199583</v>
      </c>
      <c r="R165" s="315"/>
      <c r="S165" s="330">
        <f>IF($E$5 &lt;= 22, 0.05012*$Q$16^0.78, (1.07828 * $D$30 - 0.3457) * (0.05012*77.06^0.78 / (1.0728 * 1.97 - 0.3457)) )</f>
        <v>1.4935822219553525</v>
      </c>
      <c r="T165" s="330"/>
      <c r="U165" s="315">
        <f>(3.939*10^(-2) - 7.058*10^(-7) * $Q$16*1000 + 1.155*10^(-11) * ($Q$16 * 1000)^2 - 8.016*10^(-17) * ($Q$16 * 1000)^3 + 1.869*10^(-22) * ($Q$16 * 1000)^4) * $Q$16</f>
        <v>1.883112595679524</v>
      </c>
      <c r="V165" s="315"/>
      <c r="W165" s="315"/>
      <c r="X165" s="343" t="s">
        <v>55</v>
      </c>
      <c r="Y165" s="343"/>
      <c r="Z165" s="312">
        <f>IF($E$5 &lt; 18, (0.0072 * $E$5^5 - 0.3975 * $E$5^4 + 7.9052 * $E$5^3 - 65.624 * $E$5^2 + 262.02 * $E$5 + 157.52) / 1050, 1.52)</f>
        <v>1.52</v>
      </c>
      <c r="AA165" s="312"/>
      <c r="AB165" s="330">
        <f>(576.9 * $Q$17/100 + 8.9 * $Q$16 - 159.7) / 1050</f>
        <v>1.483972554317762</v>
      </c>
      <c r="AC165" s="330"/>
    </row>
    <row r="166" spans="1:34" ht="15" customHeight="1" thickBot="1" x14ac:dyDescent="0.35">
      <c r="B166" s="323"/>
      <c r="C166" s="323"/>
      <c r="D166" s="25" t="s">
        <v>309</v>
      </c>
      <c r="E166" s="330">
        <f>IF($E$5 &lt;= 22, 0.05012*$R$16^0.78, (1.07828 * $E$30 - 0.3457) * (0.05012*61.91^0.78 / (1.0728 * 1.7 - 0.3457))  )</f>
        <v>1.2839480310742715</v>
      </c>
      <c r="F166" s="330"/>
      <c r="G166" s="343" t="s">
        <v>55</v>
      </c>
      <c r="H166" s="343"/>
      <c r="I166" s="330">
        <f>IF($E$5 &lt;= 22, 0.05012*$R$16^0.78, (1.07828 * $E$30 - 0.3457) * (0.05012*61.91^0.78 / (1.0728 * 1.7 - 0.3457))  )</f>
        <v>1.2839480310742715</v>
      </c>
      <c r="J166" s="330"/>
      <c r="K166" s="312">
        <f t="shared" si="1"/>
        <v>2.1</v>
      </c>
      <c r="L166" s="312"/>
      <c r="M166" s="330">
        <f>(0.0233 + (0.038 - 0.0233) * EXP(-0.122 * $E$5)) * $R$16</f>
        <v>1.5405880657272062</v>
      </c>
      <c r="N166" s="330"/>
      <c r="O166" s="330">
        <f>0.0017717 - 0.0030113 * $E$5 + 0.0253455 * $R$16</f>
        <v>1.524674525129166</v>
      </c>
      <c r="P166" s="330"/>
      <c r="Q166" s="315">
        <f>0.05012 * $R$16^0.78</f>
        <v>1.3164062489241561</v>
      </c>
      <c r="R166" s="315"/>
      <c r="S166" s="330">
        <f>IF($E$5 &lt;= 22, 0.05012*$R$16^0.78, (1.07828 * $E$30 - 0.3457) * (0.05012*61.96^0.78 / (1.0728 * 1.7 - 0.3457))  )</f>
        <v>1.2847567780645599</v>
      </c>
      <c r="T166" s="330"/>
      <c r="U166" s="315">
        <f>(3.939*10^(-2) - 7.058*10^(-7) * $R$16*1000 + 1.155*10^(-11) * ($R$16 * 1000)^2 - 8.016*10^(-17) * ($R$16 * 1000)^3 + 1.869*10^(-22) * ($R$16 * 1000)^4) * $R$16</f>
        <v>1.5594958044639442</v>
      </c>
      <c r="V166" s="315"/>
      <c r="W166" s="315"/>
      <c r="X166" s="315">
        <f>0.0501 * $R$16</f>
        <v>3.3079141480330323</v>
      </c>
      <c r="Y166" s="315"/>
      <c r="Z166" s="312">
        <f>IF($E$5 &lt; 18, (0.0057 * $E$5^5 - 0.3396 * $E$5^4 + 7.0134 * $E$5^3 - 59.539 * $E$5^2 + 251.9 * $E$5 + 139.65) / 1050, 1.41)</f>
        <v>1.41</v>
      </c>
      <c r="AA166" s="312"/>
      <c r="AB166" s="330">
        <f>(674.3 * $R$17/100 + 6.5 * $R$16 - 214.4) / 1050</f>
        <v>1.2481436474131409</v>
      </c>
      <c r="AC166" s="330"/>
    </row>
    <row r="167" spans="1:34" ht="15" customHeight="1" thickBot="1" x14ac:dyDescent="0.35">
      <c r="B167" s="129"/>
      <c r="C167" s="130"/>
      <c r="D167" s="131"/>
      <c r="E167" s="132"/>
      <c r="F167" s="132"/>
      <c r="G167" s="133"/>
      <c r="H167" s="133"/>
      <c r="I167" s="132"/>
      <c r="J167" s="132"/>
      <c r="K167" s="132"/>
      <c r="L167" s="132"/>
      <c r="M167" s="132"/>
      <c r="N167" s="132"/>
      <c r="O167" s="132"/>
      <c r="P167" s="132"/>
      <c r="Q167" s="132"/>
      <c r="R167" s="132"/>
      <c r="S167" s="134"/>
      <c r="T167" s="134"/>
      <c r="U167" s="132"/>
      <c r="V167" s="132"/>
      <c r="W167" s="132"/>
      <c r="X167" s="134"/>
      <c r="Y167" s="134"/>
      <c r="Z167" s="132"/>
      <c r="AA167" s="132"/>
      <c r="AB167" s="134"/>
      <c r="AC167" s="134"/>
      <c r="AE167" s="357" t="s">
        <v>337</v>
      </c>
      <c r="AF167" s="359" t="s">
        <v>325</v>
      </c>
      <c r="AG167" s="360"/>
      <c r="AH167" s="361"/>
    </row>
    <row r="168" spans="1:34" s="105" customFormat="1" ht="16.8" thickTop="1" thickBot="1" x14ac:dyDescent="0.35">
      <c r="B168" s="332" t="s">
        <v>326</v>
      </c>
      <c r="C168" s="333"/>
      <c r="D168" s="127"/>
      <c r="E168" s="128" t="s">
        <v>327</v>
      </c>
      <c r="F168" s="128" t="s">
        <v>328</v>
      </c>
      <c r="G168" s="128" t="s">
        <v>327</v>
      </c>
      <c r="H168" s="128" t="s">
        <v>328</v>
      </c>
      <c r="I168" s="128" t="s">
        <v>327</v>
      </c>
      <c r="J168" s="128" t="s">
        <v>328</v>
      </c>
      <c r="K168" s="128" t="s">
        <v>327</v>
      </c>
      <c r="L168" s="128" t="s">
        <v>328</v>
      </c>
      <c r="M168" s="128" t="s">
        <v>327</v>
      </c>
      <c r="N168" s="128" t="s">
        <v>328</v>
      </c>
      <c r="O168" s="128" t="s">
        <v>327</v>
      </c>
      <c r="P168" s="128" t="s">
        <v>328</v>
      </c>
      <c r="Q168" s="128" t="s">
        <v>327</v>
      </c>
      <c r="R168" s="128" t="s">
        <v>328</v>
      </c>
      <c r="S168" s="128" t="s">
        <v>327</v>
      </c>
      <c r="T168" s="128" t="s">
        <v>328</v>
      </c>
      <c r="U168" s="128" t="s">
        <v>327</v>
      </c>
      <c r="V168" s="128"/>
      <c r="W168" s="128" t="s">
        <v>328</v>
      </c>
      <c r="X168" s="128" t="s">
        <v>327</v>
      </c>
      <c r="Y168" s="128" t="s">
        <v>328</v>
      </c>
      <c r="Z168" s="128" t="s">
        <v>327</v>
      </c>
      <c r="AA168" s="128" t="s">
        <v>328</v>
      </c>
      <c r="AB168" s="128" t="s">
        <v>327</v>
      </c>
      <c r="AC168" s="128" t="s">
        <v>328</v>
      </c>
      <c r="AE168" s="358"/>
      <c r="AF168" s="153" t="s">
        <v>327</v>
      </c>
      <c r="AG168" s="154" t="s">
        <v>328</v>
      </c>
      <c r="AH168" s="155" t="s">
        <v>329</v>
      </c>
    </row>
    <row r="169" spans="1:34" s="105" customFormat="1" x14ac:dyDescent="0.3">
      <c r="B169" s="332"/>
      <c r="C169" s="333"/>
      <c r="D169" s="23" t="s">
        <v>308</v>
      </c>
      <c r="E169" s="135">
        <f>AVERAGE(E153,E155,E157,E159,E161,E163,E165)</f>
        <v>1.4944901793393863</v>
      </c>
      <c r="F169" s="135">
        <f>STDEV(E153,E155,E157,E159,E161,E163,E165)</f>
        <v>1.1882737307373509E-2</v>
      </c>
      <c r="G169" s="135">
        <f>AVERAGE(G153,G155,G157,G159,G161,G163,G165)</f>
        <v>1.5199999999999998</v>
      </c>
      <c r="H169" s="135">
        <f>STDEV(G153,G155,G157,G159,G161,G163,G165)</f>
        <v>2.3983558466659082E-16</v>
      </c>
      <c r="I169" s="135"/>
      <c r="J169" s="135"/>
      <c r="K169" s="135">
        <f>AVERAGE(K153,K155,K157,K159,K161,K163,K165)</f>
        <v>2.1</v>
      </c>
      <c r="L169" s="135">
        <f>STDEV(K153,K155,K157,K159,K161,K163,K165)</f>
        <v>0</v>
      </c>
      <c r="M169" s="135">
        <f>AVERAGE(M153,M155,M157,M159,M161,M163,M165)</f>
        <v>1.8889617054740844</v>
      </c>
      <c r="N169" s="135">
        <f>STDEV(M153,M155,M157,M159,M161,M163,M165)</f>
        <v>4.1491249620009052E-2</v>
      </c>
      <c r="O169" s="135">
        <f>AVERAGE(O153,O155,O157,O159,O161,O163,O165)</f>
        <v>1.8862453469971303</v>
      </c>
      <c r="P169" s="135">
        <f>STDEV(O153,O155,O157,O159,O161,O163,O165)</f>
        <v>0</v>
      </c>
      <c r="Q169" s="135">
        <f>AVERAGE(Q153,Q155,Q157,Q159,Q161,Q163,Q165)</f>
        <v>1.533290528219958</v>
      </c>
      <c r="R169" s="135">
        <f>STDEV(Q153,Q155,Q157,Q159,Q161,Q163,Q165)</f>
        <v>2.3983558466659082E-16</v>
      </c>
      <c r="S169" s="135">
        <f>AVERAGE(S153,S155,S157,S159,S161,S163,S165)</f>
        <v>1.4954850177028078</v>
      </c>
      <c r="T169" s="135">
        <f>STDEV(S153,S155,S157,S159,S161,S163,S165)</f>
        <v>1.1585842103960353E-2</v>
      </c>
      <c r="U169" s="135">
        <f>AVERAGE(U153,U155,U157,U159,U161,U163,U165)</f>
        <v>1.883112595679524</v>
      </c>
      <c r="V169" s="135"/>
      <c r="W169" s="135">
        <f>STDEV(U153,U155,U157,U159,U161,U163,U165)</f>
        <v>0</v>
      </c>
      <c r="X169" s="135"/>
      <c r="Y169" s="135"/>
      <c r="Z169" s="135">
        <f>AVERAGE(Z153,Z155,Z157,Z159,Z161,Z163,Z165)</f>
        <v>1.5199999999999998</v>
      </c>
      <c r="AA169" s="135">
        <f>STDEV(Z153,Z155,Z157,Z159,Z161,Z163,Z165)</f>
        <v>2.3983558466659082E-16</v>
      </c>
      <c r="AB169" s="135">
        <f>AVERAGE(AB153,AB155,AB157,AB159,AB161,AB163,AB165)</f>
        <v>1.4839725543177618</v>
      </c>
      <c r="AC169" s="135">
        <f>STDEV(AB153,AB155,AB157,AB159,AB161,AB163,AB165)</f>
        <v>2.3983558466659082E-16</v>
      </c>
      <c r="AE169" s="151" t="s">
        <v>330</v>
      </c>
      <c r="AF169" s="163">
        <f>AVERAGE(E169,G169,I169,K169,M169,O169,Q169,S169,U169,X169,Z169,AB169)</f>
        <v>1.6805557927730654</v>
      </c>
      <c r="AG169" s="164">
        <f>STDEV(E169,G169,I169,K169,M169,O169,Q169,S169,U169,X169,Z169,AB169)</f>
        <v>0.23177188876722837</v>
      </c>
      <c r="AH169" s="165">
        <f>(AG169/AF169)*100</f>
        <v>13.791383170015695</v>
      </c>
    </row>
    <row r="170" spans="1:34" s="105" customFormat="1" ht="16.2" thickBot="1" x14ac:dyDescent="0.35">
      <c r="B170" s="334"/>
      <c r="C170" s="335"/>
      <c r="D170" s="23" t="s">
        <v>309</v>
      </c>
      <c r="E170" s="135">
        <f>AVERAGE(E154,E156, E158,E160,E162,E164,E166)</f>
        <v>1.2826450448702753</v>
      </c>
      <c r="F170" s="135">
        <f>STDEV(E154,E156, E158,E160,E162,E164,E166)</f>
        <v>9.3049154611573887E-3</v>
      </c>
      <c r="G170" s="135"/>
      <c r="H170" s="135"/>
      <c r="I170" s="135">
        <f>AVERAGE(I154,I156, I158,I160,I162,I164,I166)</f>
        <v>1.2826450448702753</v>
      </c>
      <c r="J170" s="135">
        <f>STDEV(I154,I156, I158,I160,I162,I164,I166)</f>
        <v>9.3049154611573887E-3</v>
      </c>
      <c r="K170" s="135">
        <f>AVERAGE(K154,K156, K158,K160,K162,K164,K166)</f>
        <v>2.1</v>
      </c>
      <c r="L170" s="135">
        <f>STDEV(K154,K156, K158,K160,K162,K164,K166)</f>
        <v>0</v>
      </c>
      <c r="M170" s="135">
        <f>AVERAGE(M154,M156, M158,M160,M162,M164,M166)</f>
        <v>1.5405880657272062</v>
      </c>
      <c r="N170" s="135">
        <f>STDEV(M154,M156, M158,M160,M162,M164,M166)</f>
        <v>0</v>
      </c>
      <c r="O170" s="135">
        <f>AVERAGE(O154,O156, O158,O160,O162,O164,O166)</f>
        <v>1.524674525129166</v>
      </c>
      <c r="P170" s="135">
        <f>STDEV(O154,O156, O158,O160,O162,O164,O166)</f>
        <v>0</v>
      </c>
      <c r="Q170" s="135">
        <f>AVERAGE(Q154,Q156, Q158,Q160,Q162,Q164,Q166)</f>
        <v>1.3164062489241564</v>
      </c>
      <c r="R170" s="135">
        <f>STDEV(Q154,Q156, Q158,Q160,Q162,Q164,Q166)</f>
        <v>2.3983558466659082E-16</v>
      </c>
      <c r="S170" s="135">
        <f>AVERAGE(S154,S156, S158,S160,S162,S164,S166)</f>
        <v>1.2860715936016667</v>
      </c>
      <c r="T170" s="135">
        <f>STDEV(S154,S156, S158,S160,S162,S164,S166)</f>
        <v>8.0086043554125855E-3</v>
      </c>
      <c r="U170" s="135">
        <f>AVERAGE(U154,U156, U158,U160,U162,U164,U166)</f>
        <v>1.5594958044639442</v>
      </c>
      <c r="V170" s="135"/>
      <c r="W170" s="135">
        <f>STDEV(U154,U156, U158,U160,U162,U164,U166)</f>
        <v>0</v>
      </c>
      <c r="X170" s="135">
        <f>AVERAGE(X154,X156, X158,X160,X162,X164,X166)</f>
        <v>3.3079141480330319</v>
      </c>
      <c r="Y170" s="135">
        <f>STDEV(X154,X156, X158,X160,X162,X164,X166)</f>
        <v>4.7967116933318164E-16</v>
      </c>
      <c r="Z170" s="135">
        <f>AVERAGE(Z154,Z156, Z158,Z160,Z162,Z164,Z166)</f>
        <v>1.41</v>
      </c>
      <c r="AA170" s="135">
        <f>STDEV(Z154,Z156, Z158,Z160,Z162,Z164,Z166)</f>
        <v>0</v>
      </c>
      <c r="AB170" s="135">
        <f>AVERAGE(AB154,AB156, AB158,AB160,AB162,AB164,AB166)</f>
        <v>1.2481436474131409</v>
      </c>
      <c r="AC170" s="135">
        <f>STDEV(AB154,AB156, AB158,AB160,AB162,AB164,AB166)</f>
        <v>0</v>
      </c>
      <c r="AE170" s="152" t="s">
        <v>309</v>
      </c>
      <c r="AF170" s="146">
        <f>AVERAGE(E170,G170,I170,K170,M170,O170,Q170,S170,U170,X170,Z170,AB170)</f>
        <v>1.623507647548442</v>
      </c>
      <c r="AG170" s="147">
        <f>STDEV(E170,G170,I170,K170,M170,O170,Q170,S170,U170,X170,Z170,AB170)</f>
        <v>0.60926546065895271</v>
      </c>
      <c r="AH170" s="148">
        <f>(AG170/AF170)*100</f>
        <v>37.527723480635686</v>
      </c>
    </row>
    <row r="171" spans="1:34" x14ac:dyDescent="0.3">
      <c r="D171"/>
      <c r="E171"/>
      <c r="F171"/>
      <c r="O171"/>
      <c r="P171"/>
      <c r="Q171"/>
    </row>
    <row r="172" spans="1:34" x14ac:dyDescent="0.3">
      <c r="D172"/>
      <c r="E172"/>
      <c r="F172"/>
      <c r="O172"/>
      <c r="P172"/>
      <c r="Q172"/>
    </row>
    <row r="173" spans="1:34" ht="17.399999999999999" customHeight="1" x14ac:dyDescent="0.35">
      <c r="A173" s="321" t="s">
        <v>193</v>
      </c>
      <c r="B173" s="321"/>
      <c r="C173" s="321"/>
      <c r="D173" s="321"/>
      <c r="E173" s="321"/>
      <c r="F173"/>
      <c r="O173"/>
      <c r="P173"/>
      <c r="Q173"/>
    </row>
    <row r="175" spans="1:34" ht="15" customHeight="1" x14ac:dyDescent="0.3">
      <c r="B175" s="319" t="s">
        <v>37</v>
      </c>
      <c r="C175" s="319"/>
      <c r="D175" s="23" t="s">
        <v>308</v>
      </c>
      <c r="E175" s="23" t="s">
        <v>309</v>
      </c>
    </row>
    <row r="176" spans="1:34" ht="15" customHeight="1" x14ac:dyDescent="0.3">
      <c r="B176" s="320" t="s">
        <v>69</v>
      </c>
      <c r="C176" s="320"/>
      <c r="D176" s="32">
        <f>IF($E$5 &lt; 18, (-0.0346 * $E$5^4 + 1.5069 * $E$5^3 - 20.31 * $E$5^2 + 123.99 * $E$5 + 59.213) / 1050, 0.83)</f>
        <v>0.83</v>
      </c>
      <c r="E176" s="27" t="s">
        <v>55</v>
      </c>
    </row>
    <row r="177" spans="1:25" ht="15" customHeight="1" x14ac:dyDescent="0.3">
      <c r="B177" s="320" t="s">
        <v>90</v>
      </c>
      <c r="C177" s="320"/>
      <c r="D177" s="32">
        <f>IF($E$5 &lt; 18, (9.74*10^(-2) * ($E$5*365.25*24) + 6.33*10^(-2) * ($E$5 * 365.25*24)^(9.98*10^-1) + 3.8*10^1) / 25000, 1.19)</f>
        <v>1.19</v>
      </c>
      <c r="E177" s="32">
        <f>IF($E$5 &lt; 18, (9.74*10^(-2) * ($E$5*365.25*24) + 6.33*10^(-2) * ($E$5 * 365.25*24)^(9.98*10^-1) + 3.8*10^1) / 25000, 1.19)</f>
        <v>1.19</v>
      </c>
    </row>
    <row r="178" spans="1:25" ht="15" customHeight="1" x14ac:dyDescent="0.3">
      <c r="B178" s="320" t="s">
        <v>65</v>
      </c>
      <c r="C178" s="320"/>
      <c r="D178" s="34">
        <f>-1.454*10^(-2) + 7.269*10^(-4) * $E$5 + 9.329*10^(-6) * $E$5^2 + 6.43*10^(-3) * $Q$16 + 3.083*10^-5 * $Q$16^2</f>
        <v>0.76007648965649288</v>
      </c>
      <c r="E178" s="34">
        <f>-1.454*10^(-2) + 7.269*10^(-4) * $E$5 + 9.329*10^(-6) * $E$5^2 + 6.43*10^(-3) * $R$16 + 3.083*10^-5 * $R$16^2</f>
        <v>0.60407840991726991</v>
      </c>
    </row>
    <row r="179" spans="1:25" ht="15" customHeight="1" thickBot="1" x14ac:dyDescent="0.35">
      <c r="B179" s="320" t="s">
        <v>64</v>
      </c>
      <c r="C179" s="320"/>
      <c r="D179" s="36">
        <f>EXP(-2.092 * (($Q$17/100)^(-2.1)))</f>
        <v>0.51976125496800152</v>
      </c>
      <c r="E179" s="36">
        <f>EXP(-2.092 * (($R$17/100)^(-2.1)))</f>
        <v>0.47018463479740824</v>
      </c>
    </row>
    <row r="180" spans="1:25" ht="15" customHeight="1" x14ac:dyDescent="0.3">
      <c r="B180" s="320" t="s">
        <v>102</v>
      </c>
      <c r="C180" s="320"/>
      <c r="D180" s="31">
        <f>(1.86*10^(-2) - 4.55*10^(-8) * $Q$16*1000) * $Q$16</f>
        <v>1.2000186214155033</v>
      </c>
      <c r="E180" s="31">
        <f>(1.86*10^(-2) - 4.55*10^(-8) * $R$16*1000) * $R$16</f>
        <v>1.0297323156069553</v>
      </c>
      <c r="V180" s="357" t="s">
        <v>338</v>
      </c>
      <c r="W180" s="359" t="s">
        <v>325</v>
      </c>
      <c r="X180" s="360"/>
      <c r="Y180" s="361"/>
    </row>
    <row r="181" spans="1:25" ht="15" customHeight="1" thickBot="1" x14ac:dyDescent="0.35">
      <c r="B181" s="320" t="s">
        <v>94</v>
      </c>
      <c r="C181" s="320"/>
      <c r="D181" s="32">
        <f>IF($E$5 &lt; 18, (-0.0346 * $E$5^4 + 1.5069 * $E$5^3 - 20.31 * $E$5^2 + 123.99 * $E$5 + 59.213) / 1050, 0.83)</f>
        <v>0.83</v>
      </c>
      <c r="E181" s="32">
        <f>IF($E$5 &lt; 18, (6.3*10^(-3) * $E$5^5 - 0.3162 * $E$5^4 + 5.5896 * $E$5^3 - 42.196 * $E$5^2 + 160.79 * $E$5 + 50.506) / 1050, 0.58)</f>
        <v>0.57999999999999996</v>
      </c>
      <c r="V181" s="358"/>
      <c r="W181" s="153" t="s">
        <v>327</v>
      </c>
      <c r="X181" s="154" t="s">
        <v>328</v>
      </c>
      <c r="Y181" s="155" t="s">
        <v>329</v>
      </c>
    </row>
    <row r="182" spans="1:25" ht="15" customHeight="1" x14ac:dyDescent="0.3">
      <c r="B182" s="320" t="s">
        <v>77</v>
      </c>
      <c r="C182" s="320"/>
      <c r="D182" s="30">
        <f>0.0068 * $Q$16</f>
        <v>0.54593566219487766</v>
      </c>
      <c r="E182" s="30">
        <f>0.007 * $R$16</f>
        <v>0.46218361349762926</v>
      </c>
      <c r="V182" s="151" t="s">
        <v>330</v>
      </c>
      <c r="W182" s="143">
        <f>AVERAGE(D176:D183)</f>
        <v>0.84572400352935939</v>
      </c>
      <c r="X182" s="144">
        <f>STDEV((D176:D183))</f>
        <v>0.25353662742681632</v>
      </c>
      <c r="Y182" s="145">
        <f>(X182/W182)*100</f>
        <v>29.978648633450401</v>
      </c>
    </row>
    <row r="183" spans="1:25" ht="15" customHeight="1" thickBot="1" x14ac:dyDescent="0.35">
      <c r="B183" s="320" t="s">
        <v>59</v>
      </c>
      <c r="C183" s="320"/>
      <c r="D183" s="34">
        <f>IF($E$5 &lt; 18, ((29.08 * ($Q$17/100) * SQRT($Q$16) + 11.06) + (35.47 * ($Q$17/100) * SQRT($Q$16) + 5.53)) / 1050, 0.89)</f>
        <v>0.89</v>
      </c>
      <c r="E183" s="34">
        <f>IF($E$5 &lt; 18, ((31.46 * ($R$17/100) * SQRT($R$16) + 1.43) + (35.3 * ($R$17/100) * SQRT($R$16) + 1.53)) / 1050, 0.8)</f>
        <v>0.8</v>
      </c>
      <c r="V183" s="152" t="s">
        <v>309</v>
      </c>
      <c r="W183" s="146">
        <f>AVERAGE(E176:E183)</f>
        <v>0.73373985340275183</v>
      </c>
      <c r="X183" s="147">
        <f>STDEV(E176:E183)</f>
        <v>0.28396814469769177</v>
      </c>
      <c r="Y183" s="148">
        <f>(X183/W183)*100</f>
        <v>38.701474832091598</v>
      </c>
    </row>
    <row r="186" spans="1:25" ht="17.399999999999999" customHeight="1" x14ac:dyDescent="0.35">
      <c r="A186" s="321" t="s">
        <v>204</v>
      </c>
      <c r="B186" s="321"/>
      <c r="C186" s="321"/>
      <c r="D186" s="321"/>
      <c r="E186" s="321"/>
    </row>
    <row r="187" spans="1:25" ht="16.2" thickBot="1" x14ac:dyDescent="0.35"/>
    <row r="188" spans="1:25" ht="15" customHeight="1" x14ac:dyDescent="0.3">
      <c r="B188" s="319" t="s">
        <v>37</v>
      </c>
      <c r="C188" s="319"/>
      <c r="D188" s="23" t="s">
        <v>308</v>
      </c>
      <c r="E188" s="23" t="s">
        <v>309</v>
      </c>
      <c r="V188" s="357" t="s">
        <v>339</v>
      </c>
      <c r="W188" s="359" t="s">
        <v>325</v>
      </c>
      <c r="X188" s="360"/>
      <c r="Y188" s="361"/>
    </row>
    <row r="189" spans="1:25" ht="15" customHeight="1" thickBot="1" x14ac:dyDescent="0.35">
      <c r="B189" s="320" t="s">
        <v>102</v>
      </c>
      <c r="C189" s="320"/>
      <c r="D189" s="30">
        <f>1.48*10^(-3) * $Q$16</f>
        <v>0.11882129118359101</v>
      </c>
      <c r="E189" s="30">
        <f>1.48*10^(-3) * $R$16</f>
        <v>9.7718821139498757E-2</v>
      </c>
      <c r="V189" s="358"/>
      <c r="W189" s="153" t="s">
        <v>327</v>
      </c>
      <c r="X189" s="154" t="s">
        <v>328</v>
      </c>
      <c r="Y189" s="155" t="s">
        <v>329</v>
      </c>
    </row>
    <row r="190" spans="1:25" ht="15" customHeight="1" x14ac:dyDescent="0.3">
      <c r="B190" s="320" t="s">
        <v>77</v>
      </c>
      <c r="C190" s="320"/>
      <c r="D190" s="30">
        <f>0.00192 * $Q$16</f>
        <v>0.1541465399138478</v>
      </c>
      <c r="E190" s="30">
        <f>0.002 * $R$16</f>
        <v>0.13205246099932266</v>
      </c>
      <c r="V190" s="151" t="s">
        <v>330</v>
      </c>
      <c r="W190" s="143">
        <f>AVERAGE(D189:D191)</f>
        <v>0.12851528088602363</v>
      </c>
      <c r="X190" s="144">
        <f>STDEV((D189:D191))</f>
        <v>2.2415747023603255E-2</v>
      </c>
      <c r="Y190" s="145">
        <f>(X190/W190)*100</f>
        <v>17.442086940216171</v>
      </c>
    </row>
    <row r="191" spans="1:25" ht="15" customHeight="1" thickBot="1" x14ac:dyDescent="0.35">
      <c r="B191" s="320" t="s">
        <v>59</v>
      </c>
      <c r="C191" s="320"/>
      <c r="D191" s="34">
        <f>(7.6*($Q$17/100)*SQRT($Q$16)-0.79)/1045</f>
        <v>0.11257801156063207</v>
      </c>
      <c r="E191" s="34">
        <f>(7.92*($R$17/100)*SQRT($R$16)-2.09)/1045</f>
        <v>9.8077738812179724E-2</v>
      </c>
      <c r="V191" s="152" t="s">
        <v>309</v>
      </c>
      <c r="W191" s="146">
        <f>AVERAGE(E189:E191)</f>
        <v>0.10928300698366705</v>
      </c>
      <c r="X191" s="147">
        <f>STDEV(E189:E191)</f>
        <v>1.9719742204253831E-2</v>
      </c>
      <c r="Y191" s="148">
        <f>(X191/W191)*100</f>
        <v>18.044655567723403</v>
      </c>
    </row>
    <row r="194" spans="1:23" ht="17.399999999999999" customHeight="1" x14ac:dyDescent="0.35">
      <c r="A194" s="346" t="s">
        <v>211</v>
      </c>
      <c r="B194" s="346"/>
      <c r="C194" s="346"/>
      <c r="D194" s="346"/>
      <c r="E194" s="346"/>
    </row>
    <row r="196" spans="1:23" ht="15" customHeight="1" x14ac:dyDescent="0.3">
      <c r="B196" s="320" t="s">
        <v>37</v>
      </c>
      <c r="C196" s="320"/>
      <c r="D196" s="320"/>
      <c r="E196" s="328" t="s">
        <v>69</v>
      </c>
      <c r="F196" s="328"/>
      <c r="G196" s="328" t="s">
        <v>90</v>
      </c>
      <c r="H196" s="328"/>
      <c r="I196" s="328" t="s">
        <v>51</v>
      </c>
      <c r="J196" s="328"/>
      <c r="K196" s="328" t="s">
        <v>64</v>
      </c>
      <c r="L196" s="328"/>
      <c r="M196" s="328" t="s">
        <v>102</v>
      </c>
      <c r="N196" s="328"/>
      <c r="O196" s="328" t="s">
        <v>54</v>
      </c>
      <c r="P196" s="328"/>
      <c r="Q196" s="328" t="s">
        <v>94</v>
      </c>
      <c r="R196" s="328"/>
      <c r="S196" s="328" t="s">
        <v>77</v>
      </c>
      <c r="T196" s="328"/>
      <c r="U196" s="328" t="s">
        <v>59</v>
      </c>
      <c r="V196" s="328"/>
      <c r="W196" s="328"/>
    </row>
    <row r="197" spans="1:23" ht="15" customHeight="1" x14ac:dyDescent="0.3">
      <c r="B197" s="336" t="s">
        <v>323</v>
      </c>
      <c r="C197" s="336"/>
      <c r="D197" s="336"/>
      <c r="E197" s="328"/>
      <c r="F197" s="328"/>
      <c r="G197" s="328"/>
      <c r="H197" s="328"/>
      <c r="I197" s="328"/>
      <c r="J197" s="328"/>
      <c r="K197" s="328"/>
      <c r="L197" s="328"/>
      <c r="M197" s="328"/>
      <c r="N197" s="328"/>
      <c r="O197" s="328"/>
      <c r="P197" s="328"/>
      <c r="Q197" s="328"/>
      <c r="R197" s="328"/>
      <c r="S197" s="328"/>
      <c r="T197" s="328"/>
      <c r="U197" s="328"/>
      <c r="V197" s="328"/>
      <c r="W197" s="328"/>
    </row>
    <row r="198" spans="1:23" ht="15" customHeight="1" x14ac:dyDescent="0.3">
      <c r="B198" s="323" t="s">
        <v>62</v>
      </c>
      <c r="C198" s="323"/>
      <c r="D198" s="25" t="s">
        <v>308</v>
      </c>
      <c r="E198" s="312">
        <f>IF($E$5 &lt; 18, (-0.0992 * $E$5^4 + 4.2762 * $E$5^3 - 62.165 * $E$5^2 + 432.78 * $E$5 + 203.2) / 1000, 2.38)</f>
        <v>2.38</v>
      </c>
      <c r="F198" s="312"/>
      <c r="G198" s="338">
        <f>IF($E$5 &lt;= 18,  (2.88*10^(-1) * ($E$5*365.25*24) + 2.71*10^(-1) * ($E$5 * 365.25 * 24)^0.998 + 200) / 25000, 3.49)</f>
        <v>3.49</v>
      </c>
      <c r="H198" s="338"/>
      <c r="I198" s="330">
        <f>IF($E$5 &lt; 10, 0.664 * $D$24 + 7.85*10^(-2)*$D$24^1.049, IF($E$5 &lt; 20, (-9.356*10^(-5) - 2.151*10^(-5) * $E$5 - 5.058*10^(-1) * $D$24 + 1.134*10^(-6) * $E$5^2 + 0.117 * $E$5 * $D$24 - 1.673*10^(-5) * $D$24^2) +  (7.85*10^(-2)*$D$24^1.049), 1.834 * $D$24 + (7.85*10^(-2) * $D$24^1.049)))</f>
        <v>3.8456576664073836</v>
      </c>
      <c r="J198" s="330"/>
      <c r="K198" s="337">
        <f>$D$24*10000 * 0.15 / 1000</f>
        <v>3.0119062882363687</v>
      </c>
      <c r="L198" s="337"/>
      <c r="M198" s="315">
        <f>(1.03 * 10^(-1) - 2.56 * 10^(-6) * $Q$16*1000 + 3.68 * 10^(-11) * ($Q$16*1000)^2 - 2.58 * 10^(-16) * ($Q$16 * 1000)^3 + 8.62 * 10^(-22) * ($Q$16 * 1000)^4 - 1.1 * 10^(-27) * ($Q$16*1000)^5)  * $Q$16</f>
        <v>2.6737110636547086</v>
      </c>
      <c r="N198" s="315"/>
      <c r="O198" s="343" t="s">
        <v>55</v>
      </c>
      <c r="P198" s="343"/>
      <c r="Q198" s="312">
        <f>IF($E$5 &lt; 18, (-0.0992 * $E$5^4 + 4.2762 * $E$5^3 - 62.165 * $E$5^2 + 432.78 * $E$5 + 203.2) / 1000, 2.38)</f>
        <v>2.38</v>
      </c>
      <c r="R198" s="312"/>
      <c r="S198" s="312">
        <f>IF($E$5 &lt; 20, (-1.171 * 10^(-5) * $E$5^3 + 5.413*10^(-4) * $E$5^2 - 6.1966*10^(-3) * $E$5 + 4.623*10^(-3)) * $E$5, 0.0452 * $E$5)</f>
        <v>2.2599999999999998</v>
      </c>
      <c r="T198" s="312"/>
      <c r="U198" s="337">
        <f>EXP(1.64 * $D$24 - 1.93) / 1.116</f>
        <v>3.5017634268171363</v>
      </c>
      <c r="V198" s="337"/>
      <c r="W198" s="337"/>
    </row>
    <row r="199" spans="1:23" ht="15" customHeight="1" x14ac:dyDescent="0.3">
      <c r="B199" s="323"/>
      <c r="C199" s="323"/>
      <c r="D199" s="25" t="s">
        <v>309</v>
      </c>
      <c r="E199" s="343" t="s">
        <v>55</v>
      </c>
      <c r="F199" s="343"/>
      <c r="G199" s="338">
        <f>IF($E$5 &lt;= 18,  (2.88*10^(-1) * ($E$5*365.25*24) + 2.71*10^(-1) * ($E$5 * 365.25 * 24)^0.998 + 200) / 25000, 3.49)</f>
        <v>3.49</v>
      </c>
      <c r="H199" s="338"/>
      <c r="I199" s="330">
        <f>IF($E$5 &lt; 10, 0.664 * $E$24 + 7.85*10^(-2)*$E$24^1.049, IF($E$5 &lt; 20, (-9.356*10^(-5) - 2.151*10^(-5) * $E$5 - 5.058*10^(-1) * $E$24 + 1.134*10^(-6) * $E$5^2 + 0.117 * $E$5 * $E$24 - 1.673*10^(-5) * $E$24^2) +  (7.85*10^(-2)*$E$24^1.049), 1.834 * $E$24 + (7.85*10^(-2) * $E$24^1.049)))</f>
        <v>3.3753367633413434</v>
      </c>
      <c r="J199" s="330"/>
      <c r="K199" s="337">
        <f>$E$24*10000 * 0.15 / 1000</f>
        <v>2.6442656120190544</v>
      </c>
      <c r="L199" s="337"/>
      <c r="M199" s="315">
        <f>(1.03 * 10^(-1) - 2.56 * 10^(-6) * $R$16*1000 + 3.68 * 10^(-11) * ($R$16*1000)^2 - 2.58 * 10^(-16) * ($R$16 * 1000)^3 + 8.62 * 10^(-22) * ($R$16 * 1000)^4 - 1.1 * 10^(-27) * ($R$16*1000)^5)  * $R$16</f>
        <v>2.3202004639122293</v>
      </c>
      <c r="N199" s="315"/>
      <c r="O199" s="330">
        <f>IF($E$5 &lt; 10, 0.664 * $E$24 + 7.85*10^(-2)*$E$24^1.049, IF($E$5 &lt; 20, (-9.356*10^(-5) - 2.151*10^(-5) * $E$5 - 5.058*10^(-1) * $E$24 + 1.134*10^(-6) * $E$5^2 + 0.117 * $E$5 * $E$24 - 1.673*10^(-5) * $E$24^2) +  (7.85*10^(-2)*$E$24^1.049), 1.834 * $E$24 + (7.85*10^(-2) * $E$24^1.049)))</f>
        <v>3.3753367633413434</v>
      </c>
      <c r="P199" s="330"/>
      <c r="Q199" s="312">
        <f>IF($E$5 &lt; 18, (4.75522*10^(-3) * $E$5^5 - 0.27924 * $E$5^4 + 6.3444 * $E$5^3 - 70.113 * $E$5^2 + 429.85 * $E$5 + 252.06) / 1000, 1.97)</f>
        <v>1.97</v>
      </c>
      <c r="R199" s="312"/>
      <c r="S199" s="312">
        <f>IF($E$5 &lt; 20,  (-7.8882*10^(-6) * $E$5^3 + 4.0224*10^(-4) * $E$5^2 - 5.2146*10^(-3) * $E$5 + 4.5605 * 10^(-2)) * $E$5, 0.0383 * $E$5)</f>
        <v>1.915</v>
      </c>
      <c r="T199" s="312"/>
      <c r="U199" s="337">
        <f>EXP(1.64 * $E$24 - 1.93) / 1.116</f>
        <v>2.3427205256413925</v>
      </c>
      <c r="V199" s="337"/>
      <c r="W199" s="337"/>
    </row>
    <row r="200" spans="1:23" ht="15" customHeight="1" x14ac:dyDescent="0.3">
      <c r="B200" s="323" t="s">
        <v>57</v>
      </c>
      <c r="C200" s="323"/>
      <c r="D200" s="25" t="s">
        <v>308</v>
      </c>
      <c r="E200" s="312">
        <f>IF($E$5 &lt; 18, (-0.0992 * $E$5^4 + 4.2762 * $E$5^3 - 62.165 * $E$5^2 + 432.78 * $E$5 + 203.2) / 1000, 2.38)</f>
        <v>2.38</v>
      </c>
      <c r="F200" s="312"/>
      <c r="G200" s="338">
        <f t="shared" ref="G200:G211" si="2">IF($E$5 &lt;= 18,  (2.88*10^(-1) * ($E$5*365.25*24) + 2.71*10^(-1) * ($E$5 * 365.25 * 24)^0.998 + 200) / 25000, 3.49)</f>
        <v>3.49</v>
      </c>
      <c r="H200" s="338"/>
      <c r="I200" s="343" t="s">
        <v>55</v>
      </c>
      <c r="J200" s="343"/>
      <c r="K200" s="343" t="s">
        <v>55</v>
      </c>
      <c r="L200" s="343"/>
      <c r="M200" s="315">
        <f>(1.03 * 10^(-1) - 2.56 * 10^(-6) * $Q$16*1000 + 3.68 * 10^(-11) * ($Q$16*1000)^2 - 2.58 * 10^(-16) * ($Q$16 * 1000)^3 + 8.62 * 10^(-22) * ($Q$16 * 1000)^4 - 1.1 * 10^(-27) * ($Q$16*1000)^5)  * $Q$16</f>
        <v>2.6737110636547086</v>
      </c>
      <c r="N200" s="315"/>
      <c r="O200" s="343" t="s">
        <v>55</v>
      </c>
      <c r="P200" s="343"/>
      <c r="Q200" s="312">
        <f>IF($E$5 &lt; 18, (-0.0992 * $E$5^4 + 4.2762 * $E$5^3 - 62.165 * $E$5^2 + 432.78 * $E$5 + 203.2) / 1000, 2.38)</f>
        <v>2.38</v>
      </c>
      <c r="R200" s="312"/>
      <c r="S200" s="312">
        <f>IF($E$5 &lt; 20, (-1.171 * 10^(-5) * $E$5^3 + 5.413*10^(-4) * $E$5^2 - 6.1966*10^(-3) * $E$5 + 4.623*10^(-3)) * $E$5, 0.0452 * $E$5)</f>
        <v>2.2599999999999998</v>
      </c>
      <c r="T200" s="312"/>
      <c r="U200" s="343" t="s">
        <v>55</v>
      </c>
      <c r="V200" s="343"/>
      <c r="W200" s="343"/>
    </row>
    <row r="201" spans="1:23" ht="15" customHeight="1" x14ac:dyDescent="0.3">
      <c r="B201" s="323"/>
      <c r="C201" s="323"/>
      <c r="D201" s="25" t="s">
        <v>309</v>
      </c>
      <c r="E201" s="343" t="s">
        <v>55</v>
      </c>
      <c r="F201" s="343"/>
      <c r="G201" s="338">
        <f t="shared" si="2"/>
        <v>3.49</v>
      </c>
      <c r="H201" s="338"/>
      <c r="I201" s="330">
        <f>IF($E$5 &lt; 10, 0.664 * $E$25 + 7.85*10^(-2)*$E$25^1.049, IF($E$5 &lt; 20, (-9.356*10^(-5) - 2.151*10^(-5) * $E$5 - 5.058*10^(-1) * $E$25 + 1.134*10^(-6) * $E$5^2 + 0.117 * $E$5 * $E$25 - 1.673*10^(-5) * $E$25^2) +  (7.85*10^(-2)*$E$25^1.049), 1.834 * $E$25 + (7.85*10^(-2) * $E$25^1.049)))</f>
        <v>3.336584306951774</v>
      </c>
      <c r="J201" s="330"/>
      <c r="K201" s="337">
        <f>$E$25*10000 * 0.15 / 1000</f>
        <v>2.6139688309005575</v>
      </c>
      <c r="L201" s="337"/>
      <c r="M201" s="315">
        <f>(1.03 * 10^(-1) - 2.56 * 10^(-6) * $R$16*1000 + 3.68 * 10^(-11) * ($R$16*1000)^2 - 2.58 * 10^(-16) * ($R$16 * 1000)^3 + 8.62 * 10^(-22) * ($R$16 * 1000)^4 - 1.1 * 10^(-27) * ($R$16*1000)^5)  * $R$16</f>
        <v>2.3202004639122293</v>
      </c>
      <c r="N201" s="315"/>
      <c r="O201" s="330">
        <f>IF($E$5 &lt; 10, 0.664 * $E$25 + 7.85*10^(-2)*$E$25^1.049, IF($E$5 &lt; 20, (-9.356*10^(-5) - 2.151*10^(-5) * $E$5 - 5.058*10^(-1) * $E$25 + 1.134*10^(-6) * $E$5^2 + 0.117 * $E$5 * $E$25 - 1.673*10^(-5) * $E$25^2) +  (7.85*10^(-2)*$E$25^1.049), 1.834 * $E$25 + (7.85*10^(-2) * $E$25^1.049)))</f>
        <v>3.336584306951774</v>
      </c>
      <c r="P201" s="330"/>
      <c r="Q201" s="312">
        <f>IF($E$5 &lt; 18, (4.75522*10^(-3) * $E$5^5 - 0.27924 * $E$5^4 + 6.3444 * $E$5^3 - 70.113 * $E$5^2 + 429.85 * $E$5 + 252.06) / 1000, 1.97)</f>
        <v>1.97</v>
      </c>
      <c r="R201" s="312"/>
      <c r="S201" s="312">
        <f>IF($E$5 &lt; 20,  (-7.8882*10^(-6) * $E$5^3 + 4.0224*10^(-4) * $E$5^2 - 5.2146*10^(-3) * $E$5 + 4.5605 * 10^(-2)) * $E$5, 0.0383 * $E$5)</f>
        <v>1.915</v>
      </c>
      <c r="T201" s="312"/>
      <c r="U201" s="337">
        <f>EXP(1.64 * $E$25 - 1.93) / 1.116</f>
        <v>2.2663903035108577</v>
      </c>
      <c r="V201" s="337"/>
      <c r="W201" s="337"/>
    </row>
    <row r="202" spans="1:23" ht="15" customHeight="1" x14ac:dyDescent="0.3">
      <c r="B202" s="323" t="s">
        <v>65</v>
      </c>
      <c r="C202" s="323"/>
      <c r="D202" s="25" t="s">
        <v>308</v>
      </c>
      <c r="E202" s="312">
        <f>IF($E$5 &lt; 18, (-0.0992 * $E$5^4 + 4.2762 * $E$5^3 - 62.165 * $E$5^2 + 432.78 * $E$5 + 203.2) / 1000, 2.38)</f>
        <v>2.38</v>
      </c>
      <c r="F202" s="312"/>
      <c r="G202" s="338">
        <f t="shared" si="2"/>
        <v>3.49</v>
      </c>
      <c r="H202" s="338"/>
      <c r="I202" s="330">
        <f>IF($E$5 &lt; 10, 0.664 * $D$26 + 7.85*10^(-2)*$D$26^1.049, IF($E$5 &lt; 20, (-9.356*10^(-5) - 2.151*10^(-5) * $E$5 - 5.058*10^(-1) * $D$26 + 1.134*10^(-6) * $E$5^2 + 0.117 * $E$5 * $D$26 - 1.673*10^(-5) * $D$26^2) +  (7.85*10^(-2)*$D$26^1.049), 1.834 * $D$26 + (7.85*10^(-2) * $D$26^1.049)))</f>
        <v>3.7349137452120922</v>
      </c>
      <c r="J202" s="330"/>
      <c r="K202" s="337">
        <f>$D$26*10000 * 0.15 / 1000</f>
        <v>2.9253491612282945</v>
      </c>
      <c r="L202" s="337"/>
      <c r="M202" s="315">
        <f>(1.03 * 10^(-1) - 2.56 * 10^(-6) * $Q$16*1000 + 3.68 * 10^(-11) * ($Q$16*1000)^2 - 2.58 * 10^(-16) * ($Q$16 * 1000)^3 + 8.62 * 10^(-22) * ($Q$16 * 1000)^4 - 1.1 * 10^(-27) * ($Q$16*1000)^5)  * $Q$16</f>
        <v>2.6737110636547086</v>
      </c>
      <c r="N202" s="315"/>
      <c r="O202" s="343" t="s">
        <v>55</v>
      </c>
      <c r="P202" s="343"/>
      <c r="Q202" s="312">
        <f>IF($E$5 &lt; 18, (-0.0992 * $E$5^4 + 4.2762 * $E$5^3 - 62.165 * $E$5^2 + 432.78 * $E$5 + 203.2) / 1000, 2.38)</f>
        <v>2.38</v>
      </c>
      <c r="R202" s="312"/>
      <c r="S202" s="312">
        <f>IF($E$5 &lt; 20, (-1.171 * 10^(-5) * $E$5^3 + 5.413*10^(-4) * $E$5^2 - 6.1966*10^(-3) * $E$5 + 4.623*10^(-3)) * $E$5, 0.0452 * $E$5)</f>
        <v>2.2599999999999998</v>
      </c>
      <c r="T202" s="312"/>
      <c r="U202" s="337">
        <f>EXP(1.64 * $D$26 - 1.93) / 1.116</f>
        <v>3.1855688810535501</v>
      </c>
      <c r="V202" s="337"/>
      <c r="W202" s="337"/>
    </row>
    <row r="203" spans="1:23" ht="15" customHeight="1" x14ac:dyDescent="0.3">
      <c r="B203" s="323"/>
      <c r="C203" s="323"/>
      <c r="D203" s="25" t="s">
        <v>309</v>
      </c>
      <c r="E203" s="343" t="s">
        <v>55</v>
      </c>
      <c r="F203" s="343"/>
      <c r="G203" s="338">
        <f t="shared" si="2"/>
        <v>3.49</v>
      </c>
      <c r="H203" s="338"/>
      <c r="I203" s="330">
        <f>IF($E$5 &lt; 10, 0.664 * $E$26 + 7.85*10^(-2)*$E$26^1.049, IF($E$5 &lt; 20, (-9.356*10^(-5) - 2.151*10^(-5) * $E$5 - 5.058*10^(-1) * $E$26 + 1.134*10^(-6) * $E$5^2 + 0.117 * $E$5 * $E$26 - 1.673*10^(-5) * $E$26^2) +  (7.85*10^(-2)*$E$26^1.049), 1.834 * $E$26 + (7.85*10^(-2) * $E$26^1.049)))</f>
        <v>3.271162231434499</v>
      </c>
      <c r="J203" s="330"/>
      <c r="K203" s="337">
        <f>$E$26*10000 * 0.15 / 1000</f>
        <v>2.562819938893719</v>
      </c>
      <c r="L203" s="337"/>
      <c r="M203" s="315">
        <f>(1.03 * 10^(-1) - 2.56 * 10^(-6) * $R$16*1000 + 3.68 * 10^(-11) * ($R$16*1000)^2 - 2.58 * 10^(-16) * ($R$16 * 1000)^3 + 8.62 * 10^(-22) * ($R$16 * 1000)^4 - 1.1 * 10^(-27) * ($R$16*1000)^5)  * $R$16</f>
        <v>2.3202004639122293</v>
      </c>
      <c r="N203" s="315"/>
      <c r="O203" s="330">
        <f>IF($E$5 &lt; 10, 0.664 * $E$26 + 7.85*10^(-2)*$E$26^1.049, IF($E$5 &lt; 20, (-9.356*10^(-5) - 2.151*10^(-5) * $E$5 - 5.058*10^(-1) * $E$26 + 1.134*10^(-6) * $E$5^2 + 0.117 * $E$5 * $E$26 - 1.673*10^(-5) * $E$26^2) +  (7.85*10^(-2)*$E$26^1.049), 1.834 * $E$26 + (7.85*10^(-2) * $E$26^1.049)))</f>
        <v>3.271162231434499</v>
      </c>
      <c r="P203" s="330"/>
      <c r="Q203" s="312">
        <f>IF($E$5 &lt; 18, (4.75522*10^(-3) * $E$5^5 - 0.27924 * $E$5^4 + 6.3444 * $E$5^3 - 70.113 * $E$5^2 + 429.85 * $E$5 + 252.06) / 1000, 1.97)</f>
        <v>1.97</v>
      </c>
      <c r="R203" s="312"/>
      <c r="S203" s="312">
        <f>IF($E$5 &lt; 20,  (-7.8882*10^(-6) * $E$5^3 + 4.0224*10^(-4) * $E$5^2 - 5.2146*10^(-3) * $E$5 + 4.5605 * 10^(-2)) * $E$5, 0.0383 * $E$5)</f>
        <v>1.915</v>
      </c>
      <c r="T203" s="312"/>
      <c r="U203" s="337">
        <f>EXP(1.64 * $E$26 - 1.93) / 1.116</f>
        <v>2.1431261965705284</v>
      </c>
      <c r="V203" s="337"/>
      <c r="W203" s="337"/>
    </row>
    <row r="204" spans="1:23" ht="15" customHeight="1" x14ac:dyDescent="0.3">
      <c r="B204" s="323" t="s">
        <v>51</v>
      </c>
      <c r="C204" s="323"/>
      <c r="D204" s="25" t="s">
        <v>308</v>
      </c>
      <c r="E204" s="312">
        <f>IF($E$5 &lt; 18, (-0.0992 * $E$5^4 + 4.2762 * $E$5^3 - 62.165 * $E$5^2 + 432.78 * $E$5 + 203.2) / 1000, 2.38)</f>
        <v>2.38</v>
      </c>
      <c r="F204" s="312"/>
      <c r="G204" s="338">
        <f t="shared" si="2"/>
        <v>3.49</v>
      </c>
      <c r="H204" s="338"/>
      <c r="I204" s="330">
        <f>IF($E$5 &lt; 10, 0.664 * $D$27 + 7.85*10^(-2)*$D$27^1.049, IF($E$5 &lt; 20, (-9.356*10^(-5) - 2.151*10^(-5) * $E$5 - 5.058*10^(-1) * $D$27 + 1.134*10^(-6) * $E$5^2 + 0.117 * $E$5 * $D$27 - 1.673*10^(-5) * $D$27^2) +  (7.85*10^(-2)*$D$27^1.049), 1.834 * $D$27 + (7.85*10^(-2) * $D$27^1.049)))</f>
        <v>3.7966794780554807</v>
      </c>
      <c r="J204" s="330"/>
      <c r="K204" s="337">
        <f>$D$27*10000 * 0.15 / 1000</f>
        <v>2.9736257548901084</v>
      </c>
      <c r="L204" s="337"/>
      <c r="M204" s="315">
        <f>(1.03 * 10^(-1) - 2.56 * 10^(-6) * $Q$16*1000 + 3.68 * 10^(-11) * ($Q$16*1000)^2 - 2.58 * 10^(-16) * ($Q$16 * 1000)^3 + 8.62 * 10^(-22) * ($Q$16 * 1000)^4 - 1.1 * 10^(-27) * ($Q$16*1000)^5)  * $Q$16</f>
        <v>2.6737110636547086</v>
      </c>
      <c r="N204" s="315"/>
      <c r="O204" s="343" t="s">
        <v>55</v>
      </c>
      <c r="P204" s="343"/>
      <c r="Q204" s="312">
        <f>IF($E$5 &lt; 18, (-0.0992 * $E$5^4 + 4.2762 * $E$5^3 - 62.165 * $E$5^2 + 432.78 * $E$5 + 203.2) / 1000, 2.38)</f>
        <v>2.38</v>
      </c>
      <c r="R204" s="312"/>
      <c r="S204" s="312">
        <f>IF($E$5 &lt; 20, (-1.171 * 10^(-5) * $E$5^3 + 5.413*10^(-4) * $E$5^2 - 6.1966*10^(-3) * $E$5 + 4.623*10^(-3)) * $E$5, 0.0452 * $E$5)</f>
        <v>2.2599999999999998</v>
      </c>
      <c r="T204" s="312"/>
      <c r="U204" s="337">
        <f>EXP(1.64 * $D$27 - 1.93) / 1.116</f>
        <v>3.358227465411276</v>
      </c>
      <c r="V204" s="337"/>
      <c r="W204" s="337"/>
    </row>
    <row r="205" spans="1:23" ht="15" customHeight="1" x14ac:dyDescent="0.3">
      <c r="B205" s="323"/>
      <c r="C205" s="323"/>
      <c r="D205" s="25" t="s">
        <v>309</v>
      </c>
      <c r="E205" s="343" t="s">
        <v>55</v>
      </c>
      <c r="F205" s="343"/>
      <c r="G205" s="338">
        <f t="shared" si="2"/>
        <v>3.49</v>
      </c>
      <c r="H205" s="338"/>
      <c r="I205" s="330">
        <f>IF($E$5 &lt; 10, 0.664 * $E$27 + 7.85*10^(-2)*$E$27^1.049, IF($E$5 &lt; 20, (-9.356*10^(-5) - 2.151*10^(-5) * $E$5 - 5.058*10^(-1) * $E$27 + 1.134*10^(-6) * $E$5^2 + 0.117 * $E$5 * $E$27 - 1.673*10^(-5) * $E$27^2) +  (7.85*10^(-2)*$E$27^1.049), 1.834 * $E$27 + (7.85*10^(-2) * $E$27^1.049)))</f>
        <v>3.3351615534261851</v>
      </c>
      <c r="J205" s="330"/>
      <c r="K205" s="337">
        <f>$E$27*10000 * 0.15 / 1000</f>
        <v>2.6128565037384721</v>
      </c>
      <c r="L205" s="337"/>
      <c r="M205" s="315">
        <f>(1.03 * 10^(-1) - 2.56 * 10^(-6) * $R$16*1000 + 3.68 * 10^(-11) * ($R$16*1000)^2 - 2.58 * 10^(-16) * ($R$16 * 1000)^3 + 8.62 * 10^(-22) * ($R$16 * 1000)^4 - 1.1 * 10^(-27) * ($R$16*1000)^5)  * $R$16</f>
        <v>2.3202004639122293</v>
      </c>
      <c r="N205" s="315"/>
      <c r="O205" s="330">
        <f>IF($E$5 &lt; 10, 0.664 * $E$27 + 7.85*10^(-2)*$E$27^1.049, IF($E$5 &lt; 20, (-9.356*10^(-5) - 2.151*10^(-5) * $E$5 - 5.058*10^(-1) * $E$27 + 1.134*10^(-6) * $E$5^2 + 0.117 * $E$5 * $E$27 - 1.673*10^(-5) * $E$27^2) +  (7.85*10^(-2)*$E$27^1.049), 1.834 * $E$27 + (7.85*10^(-2) * $E$27^1.049)))</f>
        <v>3.3351615534261851</v>
      </c>
      <c r="P205" s="330"/>
      <c r="Q205" s="312">
        <f>IF($E$5 &lt; 18, (4.75522*10^(-3) * $E$5^5 - 0.27924 * $E$5^4 + 6.3444 * $E$5^3 - 70.113 * $E$5^2 + 429.85 * $E$5 + 252.06) / 1000, 1.97)</f>
        <v>1.97</v>
      </c>
      <c r="R205" s="312"/>
      <c r="S205" s="312">
        <f>IF($E$5 &lt; 20,  (-7.8882*10^(-6) * $E$5^3 + 4.0224*10^(-4) * $E$5^2 - 5.2146*10^(-3) * $E$5 + 4.5605 * 10^(-2)) * $E$5, 0.0383 * $E$5)</f>
        <v>1.915</v>
      </c>
      <c r="T205" s="312"/>
      <c r="U205" s="337">
        <f>EXP(1.64 * $E$27 - 1.93) / 1.116</f>
        <v>2.2636357210413669</v>
      </c>
      <c r="V205" s="337"/>
      <c r="W205" s="337"/>
    </row>
    <row r="206" spans="1:23" ht="15" customHeight="1" x14ac:dyDescent="0.3">
      <c r="B206" s="323" t="s">
        <v>64</v>
      </c>
      <c r="C206" s="323"/>
      <c r="D206" s="25" t="s">
        <v>308</v>
      </c>
      <c r="E206" s="312">
        <f>IF($E$5 &lt; 18, (-0.0992 * $E$5^4 + 4.2762 * $E$5^3 - 62.165 * $E$5^2 + 432.78 * $E$5 + 203.2) / 1000, 2.38)</f>
        <v>2.38</v>
      </c>
      <c r="F206" s="312"/>
      <c r="G206" s="338">
        <f t="shared" si="2"/>
        <v>3.49</v>
      </c>
      <c r="H206" s="338"/>
      <c r="I206" s="330">
        <f>IF($E$5 &lt; 10, 0.664 * $D$28 + 7.85*10^(-2)*$D$28^1.049, IF($E$5 &lt; 20, (-9.356*10^(-5) - 2.151*10^(-5) * $E$5 - 5.058*10^(-1) * $D$28 + 1.134*10^(-6) * $E$5^2 + 0.117 * $E$5 * $D$28 - 1.673*10^(-5) * $D$28^2) +  (7.85*10^(-2)*$D$28^1.049), 1.834 * $D$28 + (7.85*10^(-2) * $D$28^1.049)))</f>
        <v>3.8456576664073836</v>
      </c>
      <c r="J206" s="330"/>
      <c r="K206" s="337">
        <f>$D$28*10000 * 0.15 / 1000</f>
        <v>3.0119062882363687</v>
      </c>
      <c r="L206" s="337"/>
      <c r="M206" s="315">
        <f>(1.03 * 10^(-1) - 2.56 * 10^(-6) * $Q$16*1000 + 3.68 * 10^(-11) * ($Q$16*1000)^2 - 2.58 * 10^(-16) * ($Q$16 * 1000)^3 + 8.62 * 10^(-22) * ($Q$16 * 1000)^4 - 1.1 * 10^(-27) * ($Q$16*1000)^5)  * $Q$16</f>
        <v>2.6737110636547086</v>
      </c>
      <c r="N206" s="315"/>
      <c r="O206" s="343" t="s">
        <v>55</v>
      </c>
      <c r="P206" s="343"/>
      <c r="Q206" s="312">
        <f>IF($E$5 &lt; 18, (-0.0992 * $E$5^4 + 4.2762 * $E$5^3 - 62.165 * $E$5^2 + 432.78 * $E$5 + 203.2) / 1000, 2.38)</f>
        <v>2.38</v>
      </c>
      <c r="R206" s="312"/>
      <c r="S206" s="312">
        <f>IF($E$5 &lt; 20, (-1.171 * 10^(-5) * $E$5^3 + 5.413*10^(-4) * $E$5^2 - 6.1966*10^(-3) * $E$5 + 4.623*10^(-3)) * $E$5, 0.0452 * $E$5)</f>
        <v>2.2599999999999998</v>
      </c>
      <c r="T206" s="312"/>
      <c r="U206" s="337">
        <f>EXP(1.64 * $D$28 - 1.93) / 1.116</f>
        <v>3.5017634268171363</v>
      </c>
      <c r="V206" s="337"/>
      <c r="W206" s="337"/>
    </row>
    <row r="207" spans="1:23" ht="15" customHeight="1" x14ac:dyDescent="0.3">
      <c r="B207" s="323"/>
      <c r="C207" s="323"/>
      <c r="D207" s="25" t="s">
        <v>309</v>
      </c>
      <c r="E207" s="343" t="s">
        <v>55</v>
      </c>
      <c r="F207" s="343"/>
      <c r="G207" s="338">
        <f t="shared" si="2"/>
        <v>3.49</v>
      </c>
      <c r="H207" s="338"/>
      <c r="I207" s="330">
        <f>IF($E$5 &lt; 10, 0.664 * $E$28 + 7.85*10^(-2)*$E$28^1.049, IF($E$5 &lt; 20, (-9.356*10^(-5) - 2.151*10^(-5) * $E$5 - 5.058*10^(-1) * $E$28 + 1.134*10^(-6) * $E$5^2 + 0.117 * $E$5 * $E$28 - 1.673*10^(-5) * $E$28^2) +  (7.85*10^(-2)*$E$28^1.049), 1.834 * $E$28 + (7.85*10^(-2) * $E$28^1.049)))</f>
        <v>3.3753367633413434</v>
      </c>
      <c r="J207" s="330"/>
      <c r="K207" s="337">
        <f>$E$28*10000 * 0.15 / 1000</f>
        <v>2.6442656120190544</v>
      </c>
      <c r="L207" s="337"/>
      <c r="M207" s="315">
        <f>(1.03 * 10^(-1) - 2.56 * 10^(-6) * $R$16*1000 + 3.68 * 10^(-11) * ($R$16*1000)^2 - 2.58 * 10^(-16) * ($R$16 * 1000)^3 + 8.62 * 10^(-22) * ($R$16 * 1000)^4 - 1.1 * 10^(-27) * ($R$16*1000)^5)  * $R$16</f>
        <v>2.3202004639122293</v>
      </c>
      <c r="N207" s="315"/>
      <c r="O207" s="330">
        <f>IF($E$5 &lt; 10, 0.664 * $E$28 + 7.85*10^(-2)*$E$28^1.049, IF($E$5 &lt; 20, (-9.356*10^(-5) - 2.151*10^(-5) * $E$5 - 5.058*10^(-1) * $E$28 + 1.134*10^(-6) * $E$5^2 + 0.117 * $E$5 * $E$28 - 1.673*10^(-5) * $E$28^2) +  (7.85*10^(-2)*$E$28^1.049), 1.834 * $E$28 + (7.85*10^(-2) * $E$28^1.049)))</f>
        <v>3.3753367633413434</v>
      </c>
      <c r="P207" s="330"/>
      <c r="Q207" s="312">
        <f>IF($E$5 &lt; 18, (4.75522*10^(-3) * $E$5^5 - 0.27924 * $E$5^4 + 6.3444 * $E$5^3 - 70.113 * $E$5^2 + 429.85 * $E$5 + 252.06) / 1000, 1.97)</f>
        <v>1.97</v>
      </c>
      <c r="R207" s="312"/>
      <c r="S207" s="312">
        <f>IF($E$5 &lt; 20,  (-7.8882*10^(-6) * $E$5^3 + 4.0224*10^(-4) * $E$5^2 - 5.2146*10^(-3) * $E$5 + 4.5605 * 10^(-2)) * $E$5, 0.0383 * $E$5)</f>
        <v>1.915</v>
      </c>
      <c r="T207" s="312"/>
      <c r="U207" s="337">
        <f>EXP(1.64 * $E$28 - 1.93) / 1.116</f>
        <v>2.3427205256413925</v>
      </c>
      <c r="V207" s="337"/>
      <c r="W207" s="337"/>
    </row>
    <row r="208" spans="1:23" ht="15" customHeight="1" x14ac:dyDescent="0.3">
      <c r="B208" s="323" t="s">
        <v>54</v>
      </c>
      <c r="C208" s="323"/>
      <c r="D208" s="25" t="s">
        <v>308</v>
      </c>
      <c r="E208" s="312">
        <f>IF($E$5 &lt; 18, (-0.0992 * $E$5^4 + 4.2762 * $E$5^3 - 62.165 * $E$5^2 + 432.78 * $E$5 + 203.2) / 1000, 2.38)</f>
        <v>2.38</v>
      </c>
      <c r="F208" s="312"/>
      <c r="G208" s="338">
        <f t="shared" si="2"/>
        <v>3.49</v>
      </c>
      <c r="H208" s="338"/>
      <c r="I208" s="343" t="s">
        <v>55</v>
      </c>
      <c r="J208" s="343"/>
      <c r="K208" s="343" t="s">
        <v>55</v>
      </c>
      <c r="L208" s="343"/>
      <c r="M208" s="315">
        <f>(1.03 * 10^(-1) - 2.56 * 10^(-6) * $Q$16*1000 + 3.68 * 10^(-11) * ($Q$16*1000)^2 - 2.58 * 10^(-16) * ($Q$16 * 1000)^3 + 8.62 * 10^(-22) * ($Q$16 * 1000)^4 - 1.1 * 10^(-27) * ($Q$16*1000)^5)  * $Q$16</f>
        <v>2.6737110636547086</v>
      </c>
      <c r="N208" s="315"/>
      <c r="O208" s="343" t="s">
        <v>55</v>
      </c>
      <c r="P208" s="343"/>
      <c r="Q208" s="312">
        <f>IF($E$5 &lt; 18, (-0.0992 * $E$5^4 + 4.2762 * $E$5^3 - 62.165 * $E$5^2 + 432.78 * $E$5 + 203.2) / 1000, 2.38)</f>
        <v>2.38</v>
      </c>
      <c r="R208" s="312"/>
      <c r="S208" s="312">
        <f>IF($E$5 &lt; 20, (-1.171 * 10^(-5) * $E$5^3 + 5.413*10^(-4) * $E$5^2 - 6.1966*10^(-3) * $E$5 + 4.623*10^(-3)) * $E$5, 0.0452 * $E$5)</f>
        <v>2.2599999999999998</v>
      </c>
      <c r="T208" s="312"/>
      <c r="U208" s="343" t="s">
        <v>55</v>
      </c>
      <c r="V208" s="343"/>
      <c r="W208" s="343"/>
    </row>
    <row r="209" spans="1:34" ht="15" customHeight="1" x14ac:dyDescent="0.3">
      <c r="B209" s="323"/>
      <c r="C209" s="323"/>
      <c r="D209" s="25" t="s">
        <v>309</v>
      </c>
      <c r="E209" s="343" t="s">
        <v>55</v>
      </c>
      <c r="F209" s="343"/>
      <c r="G209" s="338">
        <f t="shared" si="2"/>
        <v>3.49</v>
      </c>
      <c r="H209" s="338"/>
      <c r="I209" s="330">
        <f>IF($E$5 &lt; 10, 0.664 * $E$29 + 7.85*10^(-2)*$E$29^1.049, IF($E$5 &lt; 20, (-9.356*10^(-5) - 2.151*10^(-5) * $E$5 - 5.058*10^(-1) * $E$29 + 1.134*10^(-6) * $E$5^2 + 0.117 * $E$5 * $E$29 - 1.673*10^(-5) * $E$29^2) +  (7.85*10^(-2)*$E$29^1.049), 1.834 * $E$29 + (7.85*10^(-2) * $E$29^1.049)))</f>
        <v>3.3351615534261851</v>
      </c>
      <c r="J209" s="330"/>
      <c r="K209" s="337">
        <f>$E$29*10000 * 0.15 / 1000</f>
        <v>2.6128565037384721</v>
      </c>
      <c r="L209" s="337"/>
      <c r="M209" s="315">
        <f>(1.03 * 10^(-1) - 2.56 * 10^(-6) * $R$16*1000 + 3.68 * 10^(-11) * ($R$16*1000)^2 - 2.58 * 10^(-16) * ($R$16 * 1000)^3 + 8.62 * 10^(-22) * ($R$16 * 1000)^4 - 1.1 * 10^(-27) * ($R$16*1000)^5)  * $R$16</f>
        <v>2.3202004639122293</v>
      </c>
      <c r="N209" s="315"/>
      <c r="O209" s="330">
        <f>IF($E$5 &lt; 10, 0.664 * $E$29 + 7.85*10^(-2)*$E$29^1.049, IF($E$5 &lt; 20, (-9.356*10^(-5) - 2.151*10^(-5) * $E$5 - 5.058*10^(-1) * $E$29 + 1.134*10^(-6) * $E$5^2 + 0.117 * $E$5 * $E$29 - 1.673*10^(-5) * $E$29^2) +  (7.85*10^(-2)*$E$29^1.049), 1.834 * $E$29 + (7.85*10^(-2) * $E$29^1.049)))</f>
        <v>3.3351615534261851</v>
      </c>
      <c r="P209" s="330"/>
      <c r="Q209" s="312">
        <f>IF($E$5 &lt; 18, (4.75522*10^(-3) * $E$5^5 - 0.27924 * $E$5^4 + 6.3444 * $E$5^3 - 70.113 * $E$5^2 + 429.85 * $E$5 + 252.06) / 1000, 1.97)</f>
        <v>1.97</v>
      </c>
      <c r="R209" s="312"/>
      <c r="S209" s="312">
        <f>IF($E$5 &lt; 20,  (-7.8882*10^(-6) * $E$5^3 + 4.0224*10^(-4) * $E$5^2 - 5.2146*10^(-3) * $E$5 + 4.5605 * 10^(-2)) * $E$5, 0.0383 * $E$5)</f>
        <v>1.915</v>
      </c>
      <c r="T209" s="312"/>
      <c r="U209" s="337">
        <f>EXP(1.64 * $E$29 - 1.93) / 1.116</f>
        <v>2.2636357210413669</v>
      </c>
      <c r="V209" s="337"/>
      <c r="W209" s="337"/>
    </row>
    <row r="210" spans="1:34" ht="15" customHeight="1" x14ac:dyDescent="0.3">
      <c r="B210" s="323" t="s">
        <v>59</v>
      </c>
      <c r="C210" s="323"/>
      <c r="D210" s="25" t="s">
        <v>308</v>
      </c>
      <c r="E210" s="312">
        <f>IF($E$5 &lt; 18, (-0.0992 * $E$5^4 + 4.2762 * $E$5^3 - 62.165 * $E$5^2 + 432.78 * $E$5 + 203.2) / 1000, 2.38)</f>
        <v>2.38</v>
      </c>
      <c r="F210" s="312"/>
      <c r="G210" s="338">
        <f t="shared" si="2"/>
        <v>3.49</v>
      </c>
      <c r="H210" s="338"/>
      <c r="I210" s="330">
        <f>IF($E$5 &lt; 10, 0.664 * $D$30 + 7.85*10^(-2)*$D$30^1.049, IF($E$5 &lt; 20, (-9.356*10^(-5) - 2.151*10^(-5) * $E$5 - 5.058*10^(-1) * $D$30 + 1.134*10^(-6) * $E$5^2 + 0.117 * $E$5 * $D$30 - 1.673*10^(-5) * $D$30^2) +  (7.85*10^(-2)*$D$30^1.049), 1.834 * $D$30 + (7.85*10^(-2) * $D$30^1.049)))</f>
        <v>3.771735962902111</v>
      </c>
      <c r="J210" s="330"/>
      <c r="K210" s="337">
        <f>$D$30*10000 * 0.15 / 1000</f>
        <v>2.9541299094147013</v>
      </c>
      <c r="L210" s="337"/>
      <c r="M210" s="315">
        <f>(1.03 * 10^(-1) - 2.56 * 10^(-6) * $Q$16*1000 + 3.68 * 10^(-11) * ($Q$16*1000)^2 - 2.58 * 10^(-16) * ($Q$16 * 1000)^3 + 8.62 * 10^(-22) * ($Q$16 * 1000)^4 - 1.1 * 10^(-27) * ($Q$16*1000)^5)  * $Q$16</f>
        <v>2.6737110636547086</v>
      </c>
      <c r="N210" s="315"/>
      <c r="O210" s="343" t="s">
        <v>55</v>
      </c>
      <c r="P210" s="343"/>
      <c r="Q210" s="312">
        <f>IF($E$5 &lt; 18, (-0.0992 * $E$5^4 + 4.2762 * $E$5^3 - 62.165 * $E$5^2 + 432.78 * $E$5 + 203.2) / 1000, 2.38)</f>
        <v>2.38</v>
      </c>
      <c r="R210" s="312"/>
      <c r="S210" s="312">
        <f>IF($E$5 &lt; 20, (-1.171 * 10^(-5) * $E$5^3 + 5.413*10^(-4) * $E$5^2 - 6.1966*10^(-3) * $E$5 + 4.623*10^(-3)) * $E$5, 0.0452 * $E$5)</f>
        <v>2.2599999999999998</v>
      </c>
      <c r="T210" s="312"/>
      <c r="U210" s="337">
        <f>EXP(1.64 * $D$30 - 1.93) / 1.116</f>
        <v>3.2874028212829538</v>
      </c>
      <c r="V210" s="337"/>
      <c r="W210" s="337"/>
    </row>
    <row r="211" spans="1:34" ht="15" customHeight="1" thickBot="1" x14ac:dyDescent="0.35">
      <c r="B211" s="323"/>
      <c r="C211" s="323"/>
      <c r="D211" s="25" t="s">
        <v>309</v>
      </c>
      <c r="E211" s="343" t="s">
        <v>55</v>
      </c>
      <c r="F211" s="343"/>
      <c r="G211" s="338">
        <f t="shared" si="2"/>
        <v>3.49</v>
      </c>
      <c r="H211" s="338"/>
      <c r="I211" s="330">
        <f>IF($E$5 &lt; 10, 0.664 * $E$30 + 7.85*10^(-2)*$E$30^1.049, IF($E$5 &lt; 20, (-9.356*10^(-5) - 2.151*10^(-5) * $E$5 - 5.058*10^(-1) * $E$30 + 1.134*10^(-6) * $E$5^2 + 0.117 * $E$5 * $E$30 - 1.673*10^(-5) * $E$30^2) +  (7.85*10^(-2)*$E$30^1.049), 1.834 * $E$30 + (7.85*10^(-2) * $E$30^1.049)))</f>
        <v>3.3054206448325916</v>
      </c>
      <c r="J211" s="330"/>
      <c r="K211" s="337">
        <f>$E$30*10000 * 0.15 / 1000</f>
        <v>2.5896044406930057</v>
      </c>
      <c r="L211" s="337"/>
      <c r="M211" s="315">
        <f>(1.03 * 10^(-1) - 2.56 * 10^(-6) * $R$16*1000 + 3.68 * 10^(-11) * ($R$16*1000)^2 - 2.58 * 10^(-16) * ($R$16 * 1000)^3 + 8.62 * 10^(-22) * ($R$16 * 1000)^4 - 1.1 * 10^(-27) * ($R$16*1000)^5)  * $R$16</f>
        <v>2.3202004639122293</v>
      </c>
      <c r="N211" s="315"/>
      <c r="O211" s="330">
        <f>IF($E$5 &lt; 10, 0.664 * $E$30 + 7.85*10^(-2)*$E$30^1.049, IF($E$5 &lt; 20, (-9.356*10^(-5) - 2.151*10^(-5) * $E$5 - 5.058*10^(-1) * $E$30 + 1.134*10^(-6) * $E$5^2 + 0.117 * $E$5 * $E$30 - 1.673*10^(-5) * $E$30^2) +  (7.85*10^(-2)*$E$30^1.049), 1.834 * $E$30 + (7.85*10^(-2) * $E$30^1.049)))</f>
        <v>3.3054206448325916</v>
      </c>
      <c r="P211" s="330"/>
      <c r="Q211" s="312">
        <f>IF($E$5 &lt; 18, (4.75522*10^(-3) * $E$5^5 - 0.27924 * $E$5^4 + 6.3444 * $E$5^3 - 70.113 * $E$5^2 + 429.85 * $E$5 + 252.06) / 1000, 1.97)</f>
        <v>1.97</v>
      </c>
      <c r="R211" s="312"/>
      <c r="S211" s="312">
        <f>IF($E$5 &lt; 20,  (-7.8882*10^(-6) * $E$5^3 + 4.0224*10^(-4) * $E$5^2 - 5.2146*10^(-3) * $E$5 + 4.5605 * 10^(-2)) * $E$5, 0.0383 * $E$5)</f>
        <v>1.915</v>
      </c>
      <c r="T211" s="312"/>
      <c r="U211" s="337">
        <f>EXP(1.64 * $E$30 - 1.93) / 1.116</f>
        <v>2.2068143194915195</v>
      </c>
      <c r="V211" s="337"/>
      <c r="W211" s="347"/>
    </row>
    <row r="212" spans="1:34" ht="15" customHeight="1" thickBot="1" x14ac:dyDescent="0.35">
      <c r="B212" s="129"/>
      <c r="C212" s="130"/>
      <c r="D212" s="131"/>
      <c r="E212" s="132"/>
      <c r="F212" s="132"/>
      <c r="G212" s="133"/>
      <c r="H212" s="133"/>
      <c r="I212" s="132"/>
      <c r="J212" s="132"/>
      <c r="K212" s="132"/>
      <c r="L212" s="132"/>
      <c r="M212" s="132"/>
      <c r="N212" s="132"/>
      <c r="O212" s="132"/>
      <c r="P212" s="132"/>
      <c r="Q212" s="132"/>
      <c r="R212" s="132"/>
      <c r="S212" s="134"/>
      <c r="T212" s="134"/>
      <c r="U212" s="132"/>
      <c r="V212" s="166"/>
      <c r="W212" s="169"/>
      <c r="X212" s="170"/>
      <c r="Y212" s="170"/>
      <c r="Z212" s="169"/>
      <c r="AA212" s="169"/>
      <c r="AB212" s="170"/>
      <c r="AC212" s="170"/>
      <c r="AE212" s="357" t="s">
        <v>340</v>
      </c>
      <c r="AF212" s="359" t="s">
        <v>325</v>
      </c>
      <c r="AG212" s="360"/>
      <c r="AH212" s="361"/>
    </row>
    <row r="213" spans="1:34" s="105" customFormat="1" ht="16.8" thickTop="1" thickBot="1" x14ac:dyDescent="0.35">
      <c r="B213" s="332" t="s">
        <v>326</v>
      </c>
      <c r="C213" s="333"/>
      <c r="D213" s="127"/>
      <c r="E213" s="128" t="s">
        <v>327</v>
      </c>
      <c r="F213" s="128" t="s">
        <v>328</v>
      </c>
      <c r="G213" s="128" t="s">
        <v>327</v>
      </c>
      <c r="H213" s="128" t="s">
        <v>328</v>
      </c>
      <c r="I213" s="128" t="s">
        <v>327</v>
      </c>
      <c r="J213" s="128" t="s">
        <v>328</v>
      </c>
      <c r="K213" s="128" t="s">
        <v>327</v>
      </c>
      <c r="L213" s="128" t="s">
        <v>328</v>
      </c>
      <c r="M213" s="128" t="s">
        <v>327</v>
      </c>
      <c r="N213" s="128" t="s">
        <v>328</v>
      </c>
      <c r="O213" s="128" t="s">
        <v>327</v>
      </c>
      <c r="P213" s="128" t="s">
        <v>328</v>
      </c>
      <c r="Q213" s="128" t="s">
        <v>327</v>
      </c>
      <c r="R213" s="128" t="s">
        <v>328</v>
      </c>
      <c r="S213" s="128" t="s">
        <v>327</v>
      </c>
      <c r="T213" s="128" t="s">
        <v>328</v>
      </c>
      <c r="U213" s="128" t="s">
        <v>327</v>
      </c>
      <c r="V213" s="167" t="s">
        <v>328</v>
      </c>
      <c r="W213" s="171"/>
      <c r="X213" s="171"/>
      <c r="Y213" s="171"/>
      <c r="Z213" s="171"/>
      <c r="AA213" s="171"/>
      <c r="AB213" s="171"/>
      <c r="AC213" s="171"/>
      <c r="AE213" s="358"/>
      <c r="AF213" s="140" t="s">
        <v>327</v>
      </c>
      <c r="AG213" s="141" t="s">
        <v>328</v>
      </c>
      <c r="AH213" s="142" t="s">
        <v>329</v>
      </c>
    </row>
    <row r="214" spans="1:34" s="105" customFormat="1" x14ac:dyDescent="0.3">
      <c r="B214" s="332"/>
      <c r="C214" s="333"/>
      <c r="D214" s="23" t="s">
        <v>308</v>
      </c>
      <c r="E214" s="135">
        <f>AVERAGE(E198,E200,E202,E204,E206,E208,E210)</f>
        <v>2.3799999999999994</v>
      </c>
      <c r="F214" s="135">
        <f>STDEV(E198,E200,E202,E204,E206,E208,E210)</f>
        <v>4.7967116933318164E-16</v>
      </c>
      <c r="G214" s="135">
        <f>AVERAGE(G198,G200,G202,G204,G206,G208,G210)</f>
        <v>3.4900000000000011</v>
      </c>
      <c r="H214" s="135">
        <f>STDEV(G198,G200,G202,G204,G206,G208,G210)</f>
        <v>9.5934233866636329E-16</v>
      </c>
      <c r="I214" s="135">
        <f>AVERAGE(I198,I200,I202,I204,I206,I208,I210)</f>
        <v>3.7989289037968903</v>
      </c>
      <c r="J214" s="135">
        <f>STDEV(I198,I200,I202,I204,I206,I208,I210)</f>
        <v>4.7983359067299579E-2</v>
      </c>
      <c r="K214" s="135">
        <f>AVERAGE(K198,K200,K202,K204,K206,K208,K210)</f>
        <v>2.9753834804011685</v>
      </c>
      <c r="L214" s="135">
        <f>STDEV(K198,K200,K202,K204,K206,K208,K210)</f>
        <v>3.7503559691301272E-2</v>
      </c>
      <c r="M214" s="135">
        <f>AVERAGE(M198,M200,M202,M204,M206,M208,M210)</f>
        <v>2.6737110636547081</v>
      </c>
      <c r="N214" s="135">
        <f>STDEV(M198,M200,M202,M204,M206,M208,M210)</f>
        <v>4.7967116933318164E-16</v>
      </c>
      <c r="O214" s="135"/>
      <c r="P214" s="135"/>
      <c r="Q214" s="135">
        <f>AVERAGE(Q198,Q200,Q202,Q204,Q206,Q208,Q210)</f>
        <v>2.3799999999999994</v>
      </c>
      <c r="R214" s="135">
        <f>STDEV(Q198,Q200,Q202,Q204,Q206,Q208,Q210)</f>
        <v>4.7967116933318164E-16</v>
      </c>
      <c r="S214" s="135">
        <f>AVERAGE(S198,S200,S202,S204,S206,S208,S210)</f>
        <v>2.2599999999999998</v>
      </c>
      <c r="T214" s="135">
        <f>STDEV(S198,S200,S202,S204,S206,S208,S210)</f>
        <v>0</v>
      </c>
      <c r="U214" s="135">
        <f>AVERAGE(U198,U200,U202,U204,U206,U208,U210)</f>
        <v>3.3669452042764108</v>
      </c>
      <c r="V214" s="168">
        <f>STDEV(U198,U200,U202,U204,U206,U208,U210)</f>
        <v>0.13752478553621095</v>
      </c>
      <c r="W214" s="110"/>
      <c r="X214" s="110"/>
      <c r="Y214" s="110"/>
      <c r="Z214" s="110"/>
      <c r="AA214" s="110"/>
      <c r="AB214" s="110"/>
      <c r="AC214" s="110"/>
      <c r="AE214" s="172" t="s">
        <v>330</v>
      </c>
      <c r="AF214" s="163">
        <f>AVERAGE(E214,G214,I214,K214,M214,O214,Q214,S214,U214)</f>
        <v>2.9156210815161474</v>
      </c>
      <c r="AG214" s="164">
        <f>STDEV(E214,G214,I214,K214,M214,O214,Q214,S214,U214)</f>
        <v>0.58303984232959305</v>
      </c>
      <c r="AH214" s="165">
        <f>(AG214/AF214)*100</f>
        <v>19.997106140637708</v>
      </c>
    </row>
    <row r="215" spans="1:34" s="105" customFormat="1" ht="16.2" thickBot="1" x14ac:dyDescent="0.35">
      <c r="B215" s="334"/>
      <c r="C215" s="335"/>
      <c r="D215" s="23" t="s">
        <v>309</v>
      </c>
      <c r="E215" s="135"/>
      <c r="F215" s="135"/>
      <c r="G215" s="135">
        <f>AVERAGE(G199,G201,G203,G205,G207,G209,G211)</f>
        <v>3.4900000000000011</v>
      </c>
      <c r="H215" s="135">
        <f>STDEV(G199,G201,G203,G205,G207,G209,G211)</f>
        <v>9.5934233866636329E-16</v>
      </c>
      <c r="I215" s="135">
        <f>AVERAGE(I199,I201,I203,I205,I207,I209,I211)</f>
        <v>3.333451973821989</v>
      </c>
      <c r="J215" s="135">
        <f>STDEV(I199,I201,I203,I205,I207,I209,I211)</f>
        <v>3.6946121658109676E-2</v>
      </c>
      <c r="K215" s="135">
        <f>AVERAGE(K199,K201,K203,K205,K207,K209,K211)</f>
        <v>2.6115196345717626</v>
      </c>
      <c r="L215" s="135">
        <f>STDEV(K199,K201,K203,K205,K207,K209,K211)</f>
        <v>2.8885137934092902E-2</v>
      </c>
      <c r="M215" s="135">
        <f>AVERAGE(M199,M201,M203,M205,M207,M209,M211)</f>
        <v>2.3202004639122293</v>
      </c>
      <c r="N215" s="135">
        <f>STDEV(M199,M201,M203,M205,M207,M209,M211)</f>
        <v>0</v>
      </c>
      <c r="O215" s="135">
        <f>AVERAGE(O199,O201,O203,O205,O207,O209,O211)</f>
        <v>3.333451973821989</v>
      </c>
      <c r="P215" s="135">
        <f>STDEV(O199,O201,O203,O205,O207,O209,O211)</f>
        <v>3.6946121658109676E-2</v>
      </c>
      <c r="Q215" s="135">
        <f>AVERAGE(Q199,Q201,Q203,Q205,Q207,Q209,Q211)</f>
        <v>1.9700000000000002</v>
      </c>
      <c r="R215" s="135">
        <f>STDEV(Q199,Q201,Q203,Q205,Q207,Q209,Q211)</f>
        <v>2.3983558466659082E-16</v>
      </c>
      <c r="S215" s="135">
        <f>AVERAGE(S199,S201,S203,S205,S207,S209,S211)</f>
        <v>1.9149999999999996</v>
      </c>
      <c r="T215" s="135">
        <f>STDEV(S199,S201,S203,S205,S207,S209,S211)</f>
        <v>4.7967116933318164E-16</v>
      </c>
      <c r="U215" s="135">
        <f>AVERAGE(U199,U201,U203,U205,U207,U209,U211)</f>
        <v>2.2612919018483466</v>
      </c>
      <c r="V215" s="168">
        <f>STDEV(U199,U201,U203,U205,U207,U209,U211)</f>
        <v>7.0980235635514921E-2</v>
      </c>
      <c r="W215" s="110"/>
      <c r="X215" s="110"/>
      <c r="Y215" s="110"/>
      <c r="Z215" s="110"/>
      <c r="AA215" s="110"/>
      <c r="AB215" s="110"/>
      <c r="AC215" s="110"/>
      <c r="AE215" s="173" t="s">
        <v>309</v>
      </c>
      <c r="AF215" s="146">
        <f>AVERAGE(E215,G215,I215,K215,M215,O215,Q215,S215,U215)</f>
        <v>2.6543644934970394</v>
      </c>
      <c r="AG215" s="147">
        <f>STDEV(E215,G215,I215,K215,M215,O215,Q215,S215,U215)</f>
        <v>0.64405282266844599</v>
      </c>
      <c r="AH215" s="148">
        <f>(AG215/AF215)*100</f>
        <v>24.263917945192496</v>
      </c>
    </row>
    <row r="218" spans="1:34" ht="17.399999999999999" customHeight="1" x14ac:dyDescent="0.35">
      <c r="A218" s="321" t="s">
        <v>223</v>
      </c>
      <c r="B218" s="321"/>
      <c r="C218" s="321"/>
      <c r="D218" s="321"/>
      <c r="E218" s="321"/>
    </row>
    <row r="220" spans="1:34" ht="15" customHeight="1" x14ac:dyDescent="0.3">
      <c r="B220" s="319" t="s">
        <v>37</v>
      </c>
      <c r="C220" s="319"/>
      <c r="D220" s="23" t="s">
        <v>308</v>
      </c>
      <c r="E220" s="23" t="s">
        <v>309</v>
      </c>
    </row>
    <row r="221" spans="1:34" ht="15" customHeight="1" thickBot="1" x14ac:dyDescent="0.35">
      <c r="B221" s="320" t="s">
        <v>69</v>
      </c>
      <c r="C221" s="320"/>
      <c r="D221" s="32">
        <f>IF($E$5 &lt; 18, (-0.0091 * $E$5^4 + 0.3457 * $E$5^3 - 4.0754 * $E$5^2 + 22.269 * $E$5 + 11.05) / 1054, 0.14)</f>
        <v>0.14000000000000001</v>
      </c>
      <c r="E221" s="27" t="s">
        <v>55</v>
      </c>
    </row>
    <row r="222" spans="1:34" ht="15" customHeight="1" x14ac:dyDescent="0.3">
      <c r="B222" s="320" t="s">
        <v>102</v>
      </c>
      <c r="C222" s="320"/>
      <c r="D222" s="30">
        <f>(3.12 * 10^(-3) - 5.57 * 10^(-9) * $Q$16*1000) * $Q$16</f>
        <v>0.21458599041759768</v>
      </c>
      <c r="E222" s="30">
        <f>(3.12 * 10^(-3) - 5.57 * 10^(-9) * $R$16*1000) * $R$16</f>
        <v>0.18171962961399449</v>
      </c>
      <c r="V222" s="357" t="s">
        <v>341</v>
      </c>
      <c r="W222" s="359" t="s">
        <v>325</v>
      </c>
      <c r="X222" s="360"/>
      <c r="Y222" s="361"/>
    </row>
    <row r="223" spans="1:34" ht="15" customHeight="1" thickBot="1" x14ac:dyDescent="0.35">
      <c r="B223" s="320" t="s">
        <v>94</v>
      </c>
      <c r="C223" s="320"/>
      <c r="D223" s="32">
        <f>IF($E$5 &lt; 18, (-0.0091 * $E$5^4 + 0.3457 * $E$5^3 - 4.0754 * $E$5^2 + 22.269 * $E$5 + 11.05) / 1054, 0.14)</f>
        <v>0.14000000000000001</v>
      </c>
      <c r="E223" s="32">
        <f>IF($E$5 &lt; 18, (6.3696*10^(-4) * $E$5^5 - 3.5327*10^(-2) * $E$5^4 + 0.7073 * $E$5^3 - 6.0357 * $E$5^2 + 26.311 * $E$5 + 8.1692) / 1054, 0.15)</f>
        <v>0.15</v>
      </c>
      <c r="V223" s="358"/>
      <c r="W223" s="153" t="s">
        <v>327</v>
      </c>
      <c r="X223" s="154" t="s">
        <v>328</v>
      </c>
      <c r="Y223" s="155" t="s">
        <v>329</v>
      </c>
    </row>
    <row r="224" spans="1:34" ht="15" customHeight="1" x14ac:dyDescent="0.3">
      <c r="B224" s="320" t="s">
        <v>77</v>
      </c>
      <c r="C224" s="320"/>
      <c r="D224" s="30">
        <f>0.0021 * $Q$16</f>
        <v>0.16859777803077103</v>
      </c>
      <c r="E224" s="30">
        <f>0.0022 * $R$16</f>
        <v>0.14525770709925492</v>
      </c>
      <c r="V224" s="151" t="s">
        <v>330</v>
      </c>
      <c r="W224" s="143">
        <f>AVERAGE(D221:D225)</f>
        <v>0.16057966173388433</v>
      </c>
      <c r="X224" s="144">
        <f>STDEV((D221:D225))</f>
        <v>3.2647250943804815E-2</v>
      </c>
      <c r="Y224" s="145">
        <f>(X224/W224)*100</f>
        <v>20.330875399344446</v>
      </c>
    </row>
    <row r="225" spans="1:25" ht="15" customHeight="1" thickBot="1" x14ac:dyDescent="0.35">
      <c r="B225" s="320" t="s">
        <v>59</v>
      </c>
      <c r="C225" s="320"/>
      <c r="D225" s="34">
        <f>(8.74 * $Q$17/100 * SQRT($Q$16) + 11.06) / 1054</f>
        <v>0.13971454022105276</v>
      </c>
      <c r="E225" s="34">
        <f>(9.36 * $R$17/100 * SQRT($R$16) + 7.98) / 1054</f>
        <v>0.12483492166322765</v>
      </c>
      <c r="G225" s="107"/>
      <c r="V225" s="152" t="s">
        <v>309</v>
      </c>
      <c r="W225" s="146">
        <f>AVERAGE(E221:E225)</f>
        <v>0.15045306459411925</v>
      </c>
      <c r="X225" s="147">
        <f>STDEV(E221:E225)</f>
        <v>2.3530719937956222E-2</v>
      </c>
      <c r="Y225" s="148">
        <f>(X225/W225)*100</f>
        <v>15.639907370072917</v>
      </c>
    </row>
    <row r="228" spans="1:25" ht="17.399999999999999" customHeight="1" x14ac:dyDescent="0.35">
      <c r="A228" s="321" t="s">
        <v>231</v>
      </c>
      <c r="B228" s="321"/>
      <c r="C228" s="321"/>
      <c r="D228" s="321"/>
      <c r="E228" s="321"/>
    </row>
    <row r="230" spans="1:25" ht="15" customHeight="1" x14ac:dyDescent="0.3">
      <c r="B230" s="319" t="s">
        <v>37</v>
      </c>
      <c r="C230" s="319"/>
      <c r="D230" s="23" t="s">
        <v>308</v>
      </c>
      <c r="E230" s="23" t="s">
        <v>309</v>
      </c>
    </row>
    <row r="231" spans="1:25" ht="15" customHeight="1" x14ac:dyDescent="0.3">
      <c r="B231" s="351" t="s">
        <v>62</v>
      </c>
      <c r="C231" s="351"/>
      <c r="D231" s="34">
        <f>IF($E$5&lt;=25,((1.4471*EXP(-0.0761*$E$5)+0.52)*($Q$16/($Q$17/100)^2) - 0.10124*$E$5+5.0465)*$Q$16/100, (-6.0487*($Q$16/($Q$17/100)^2) + 0.1177*($Q$16/($Q$17/100)^2)^2 + 0.03155*$E$5 + 97.2025) * 0.979 *$Q$16/100)</f>
        <v>16.62559072041272</v>
      </c>
      <c r="E231" s="34">
        <f>IF($E$5 &lt; 25, ((1.5334 * EXP(-0.103 * $E$5) + 0.67) * ($R$16/($R$17/100)^2) + 0.6276 * $E$5 + 1.0301) * $R$16/100, (1.9224 * ($R$16/($R$17/100)^2) - 0.018517 * ($R$16/($R$17/100)^2)^2 + 0.05537 * $E$5 - 0.794894) * 0.979 * $R$16/100)</f>
        <v>24.862059691830964</v>
      </c>
    </row>
    <row r="232" spans="1:25" ht="15" customHeight="1" x14ac:dyDescent="0.3">
      <c r="B232" s="351" t="s">
        <v>69</v>
      </c>
      <c r="C232" s="351"/>
      <c r="D232" s="32">
        <f>IF($E$5 &lt; 18, (0.0165 * $E$5^5 - 1.9784 * $E$5^4 + 51.963 * $E$5^3 - 459.39 * $E$5^2 + 1566.8 * $E$5 + 1004.2) / 1000, 6.91)</f>
        <v>6.91</v>
      </c>
      <c r="E232" s="27" t="s">
        <v>55</v>
      </c>
    </row>
    <row r="233" spans="1:25" ht="15" customHeight="1" thickBot="1" x14ac:dyDescent="0.35">
      <c r="B233" s="351" t="s">
        <v>57</v>
      </c>
      <c r="C233" s="351"/>
      <c r="D233" s="27" t="s">
        <v>55</v>
      </c>
      <c r="E233" s="34">
        <f>IF($E$5&lt;=25,((1.5334*EXP(-0.103*$E$5)+0.67)*($R$16/($R$17/100)^2)+0.6276*$E$5+1.0301)*$R$16/100, (1.9224*($R$16/($R$17/100)^2)-0.018517*($R$16/($R$17/100)^2)^2+0.05537*$E$5-0.794894) *$R$16/100)</f>
        <v>25.395362300133776</v>
      </c>
    </row>
    <row r="234" spans="1:25" ht="15" customHeight="1" x14ac:dyDescent="0.3">
      <c r="B234" s="351" t="s">
        <v>90</v>
      </c>
      <c r="C234" s="351"/>
      <c r="D234" s="32">
        <f>IF($E$5 &lt;= 18, (2.54*10^(-2) * ($E$5 * 365.25 * 24) + 1.88 * 10^1 *($E$5 * 365.25 * 24)^(5.2*10^(-1)) + 9.06 * 10^(-2)) / 1000, 14.4)</f>
        <v>14.4</v>
      </c>
      <c r="E234" s="32">
        <f>IF($E$5 &lt;= 18, (2.54*10^(-2) * ($E$5 * 365.25 * 24) + 1.88 * 10^1 *($E$5 * 365.25 * 24)^(5.2*10^(-1)) + 9.06 * 10^(-2)) / 1000, 14.4)</f>
        <v>14.4</v>
      </c>
      <c r="V234" s="357" t="s">
        <v>342</v>
      </c>
      <c r="W234" s="359" t="s">
        <v>325</v>
      </c>
      <c r="X234" s="360"/>
      <c r="Y234" s="361"/>
    </row>
    <row r="235" spans="1:25" ht="15" customHeight="1" thickBot="1" x14ac:dyDescent="0.35">
      <c r="B235" s="351" t="s">
        <v>65</v>
      </c>
      <c r="C235" s="351"/>
      <c r="D235" s="34">
        <f>1.3054356 + 0.3622685 * $E$5 - 0.0025165 * $E$5^2 + 0.0906119 * $Q$16 + 0.0001731 * $Q$16^2</f>
        <v>21.51809370399754</v>
      </c>
      <c r="E235" s="34">
        <f>6.132 * 10^(-1) + 8.475 * 10^(-2) * $E$5 + 8.151 * 10^(-5) * $E$5^2 + 1.341*10^(-1) * $R$16 + 2.297 * 10^(-3) * $R$16^2</f>
        <v>23.922279282849736</v>
      </c>
      <c r="V235" s="358"/>
      <c r="W235" s="153" t="s">
        <v>327</v>
      </c>
      <c r="X235" s="154" t="s">
        <v>328</v>
      </c>
      <c r="Y235" s="155" t="s">
        <v>329</v>
      </c>
    </row>
    <row r="236" spans="1:25" ht="15" customHeight="1" x14ac:dyDescent="0.3">
      <c r="B236" s="352" t="s">
        <v>64</v>
      </c>
      <c r="C236" s="352"/>
      <c r="D236" s="265">
        <f>IF($E$5 &lt; 20, ((2.8975 * EXP(-0.129 * $E$5) + 0.67) * ($Q$16/($I$17/100)^2) + 0.2635 * $E$5 - 4.843) * $Q$16 / 100, (-5.33798 * ($Q$16/($Q$17/100)^2) + 0.11149 * ($Q$16/($Q$17/100)^2)^2 + 0.09795 * $E$5 + 85.24521) * $Q$16/ 100)</f>
        <v>21.680447881401861</v>
      </c>
      <c r="E236" s="265">
        <f>IF($E$5 &lt; 25, ((1.5334 * EXP(-0.103 * $E$5) + 0.67) * ($R$16/($R$17/100)^2) + 0.6276 * $E$5 + 1.0301) * $R$16 / 100, (1.9224 * ($R$16/($R$17/100)^2) - 0.018517 * ($R$16/($R$17/100)^2)^2 + 0.05537*$E$5 - 0.794894) * $R$16/100)</f>
        <v>25.395362300133776</v>
      </c>
      <c r="V236" s="151" t="s">
        <v>330</v>
      </c>
      <c r="W236" s="143">
        <f>AVERAGE(D231:D237)</f>
        <v>17.006364029156916</v>
      </c>
      <c r="X236" s="144">
        <f>STDEV((D231:D237))</f>
        <v>5.7666181317807474</v>
      </c>
      <c r="Y236" s="145">
        <f>(X236/W236)*100</f>
        <v>33.908589289833195</v>
      </c>
    </row>
    <row r="237" spans="1:25" ht="15" customHeight="1" thickBot="1" x14ac:dyDescent="0.35">
      <c r="B237" s="349" t="s">
        <v>102</v>
      </c>
      <c r="C237" s="349"/>
      <c r="D237" s="264">
        <f>(3.484 * 10^(-2) + 2.803 * 10^(-5) * ($Q$16*1000) - 1.422*10^(-9) * ($Q$16*1000)^2 + 2.892 * 10^(-14) * ($Q$16*1000)^3 - 2.718*10^(-19) * ($Q$16*1000)^4 + 1.203*10^(-24) * ($Q$16*1000)^5 - 2.036*10^(-30) * ($Q$16*1000)^6) *($Q$16)</f>
        <v>20.904051869129383</v>
      </c>
      <c r="E237" s="264">
        <f>(9.217 * 10^(-2) + 1.401 * 10^(-5) * ($R$16*1000) - 6.787*10^(-10) * ($R$16*1000)^2 + 1.54 * 10^(-14) * ($R$16*1000)^3 - 1.558*10^(-19) *($R$16*1000)^4 + 7.249 * 10^(-25) * ($R$16*1000)^5 - 1.274 * 10^(-30) * ($R$16*1000)^6) * ($R$16)</f>
        <v>22.069378042956782</v>
      </c>
      <c r="V237" s="152" t="s">
        <v>309</v>
      </c>
      <c r="W237" s="146">
        <f>AVERAGE(E231:E237)</f>
        <v>22.674073602984169</v>
      </c>
      <c r="X237" s="147">
        <f>STDEV(E231:E237)</f>
        <v>4.2422181838896762</v>
      </c>
      <c r="Y237" s="148">
        <f>(X237/W237)*100</f>
        <v>18.709554613650685</v>
      </c>
    </row>
    <row r="238" spans="1:25" ht="15" customHeight="1" x14ac:dyDescent="0.3">
      <c r="B238" s="349" t="s">
        <v>94</v>
      </c>
      <c r="C238" s="349"/>
      <c r="D238" s="266">
        <f>IF(E5&lt;=18,(0.0165*E5^5 - 1.9784*E5^4 + 51.963*E5^3 - 459.38*E5^2 + 1566.8*E5 + 1004.2)/916, (0.0165*18^5 - 1.9784*18^4 + 51.963*18^3 - 459.38*18^2 + 1566.8*18 + 1004.2)/916)</f>
        <v>7.5426305676856105</v>
      </c>
      <c r="E238" s="266">
        <f>IF(E5 &lt; 18, (0.038*E5^5 - 2.6629*E5^4 + 60.433*E5^3 - 479.37*E5^2 + 1592.3*E5 + 912.36)/916, (0.038*18^5 - 2.6629*18^4 + 60.433*18^3 - 479.37*18^2 + 1592.3*18 + 912.36)/916)</f>
        <v>20.705381659388649</v>
      </c>
      <c r="V238" s="263"/>
      <c r="W238" s="144"/>
      <c r="X238" s="144"/>
      <c r="Y238" s="144"/>
    </row>
    <row r="241" spans="1:18" ht="17.399999999999999" customHeight="1" x14ac:dyDescent="0.35">
      <c r="A241" s="321" t="s">
        <v>246</v>
      </c>
      <c r="B241" s="321"/>
      <c r="C241" s="321"/>
      <c r="D241" s="321"/>
      <c r="E241" s="321"/>
    </row>
    <row r="243" spans="1:18" ht="15" customHeight="1" x14ac:dyDescent="0.3">
      <c r="B243" s="319" t="s">
        <v>37</v>
      </c>
      <c r="C243" s="319"/>
      <c r="D243" s="23" t="s">
        <v>308</v>
      </c>
      <c r="E243" s="23" t="s">
        <v>309</v>
      </c>
    </row>
    <row r="244" spans="1:18" ht="15" customHeight="1" x14ac:dyDescent="0.3">
      <c r="B244" s="351" t="s">
        <v>77</v>
      </c>
      <c r="C244" s="351"/>
      <c r="D244" s="34">
        <f>(2 * 10^(-4) + (1.71*10^(-3) - 2 * 10^(-4)) * EXP(-2.02 * $E$5)) * $Q$16</f>
        <v>1.6056931241025814E-2</v>
      </c>
      <c r="E244" s="34">
        <f>(2 * 10^(-4) + (1.71*10^(-3) - 2 * 10^(-4)) * EXP(-2.02 * $E$5)) * $R$16</f>
        <v>1.3205246099932266E-2</v>
      </c>
    </row>
    <row r="247" spans="1:18" ht="17.399999999999999" customHeight="1" x14ac:dyDescent="0.35">
      <c r="A247" s="321" t="s">
        <v>248</v>
      </c>
      <c r="B247" s="321"/>
      <c r="C247" s="321"/>
      <c r="D247" s="321"/>
      <c r="E247" s="321"/>
    </row>
    <row r="249" spans="1:18" ht="15" customHeight="1" x14ac:dyDescent="0.3">
      <c r="B249" s="348" t="s">
        <v>37</v>
      </c>
      <c r="C249" s="348"/>
      <c r="D249" s="259" t="s">
        <v>308</v>
      </c>
      <c r="E249" s="259" t="s">
        <v>309</v>
      </c>
    </row>
    <row r="250" spans="1:18" ht="15" customHeight="1" x14ac:dyDescent="0.3">
      <c r="B250" s="349" t="s">
        <v>77</v>
      </c>
      <c r="C250" s="349"/>
      <c r="D250" s="260">
        <f>(3.42 * 10^(-4) * (1 / (1+EXP(-1.42 * $E$5 + 20.1)))) * $Q$16</f>
        <v>2.7457352422154142E-2</v>
      </c>
      <c r="E250" s="260">
        <f>(0.00833 * 1/(1+EXP(-1.92*$E$5 + 28.6))) * $R$16</f>
        <v>0.54999850006217887</v>
      </c>
    </row>
    <row r="251" spans="1:18" ht="15.75" customHeight="1" x14ac:dyDescent="0.3">
      <c r="B251" s="349" t="s">
        <v>54</v>
      </c>
      <c r="C251" s="349"/>
      <c r="D251" s="261" t="s">
        <v>55</v>
      </c>
      <c r="E251" s="262">
        <f>0.0062*R16</f>
        <v>0.40936262909790017</v>
      </c>
    </row>
    <row r="253" spans="1:18" ht="17.399999999999999" customHeight="1" x14ac:dyDescent="0.35">
      <c r="A253" s="346" t="s">
        <v>343</v>
      </c>
      <c r="B253" s="346"/>
      <c r="C253" s="346"/>
      <c r="D253" s="346"/>
      <c r="E253" s="346"/>
    </row>
    <row r="255" spans="1:18" ht="15" customHeight="1" x14ac:dyDescent="0.3">
      <c r="B255" s="320" t="s">
        <v>37</v>
      </c>
      <c r="C255" s="320"/>
      <c r="D255" s="320"/>
      <c r="E255" s="328" t="s">
        <v>69</v>
      </c>
      <c r="F255" s="328"/>
      <c r="G255" s="328" t="s">
        <v>90</v>
      </c>
      <c r="H255" s="328"/>
      <c r="I255" s="350" t="s">
        <v>64</v>
      </c>
      <c r="J255" s="350"/>
      <c r="K255" s="350" t="s">
        <v>102</v>
      </c>
      <c r="L255" s="350"/>
      <c r="M255" s="350" t="s">
        <v>94</v>
      </c>
      <c r="N255" s="350"/>
      <c r="O255" s="350" t="s">
        <v>77</v>
      </c>
      <c r="P255" s="350"/>
      <c r="Q255" s="328" t="s">
        <v>57</v>
      </c>
      <c r="R255" s="328"/>
    </row>
    <row r="256" spans="1:18" ht="15" customHeight="1" x14ac:dyDescent="0.3">
      <c r="B256" s="336" t="s">
        <v>323</v>
      </c>
      <c r="C256" s="336"/>
      <c r="D256" s="336"/>
      <c r="E256" s="328"/>
      <c r="F256" s="328"/>
      <c r="G256" s="328"/>
      <c r="H256" s="328"/>
      <c r="I256" s="350"/>
      <c r="J256" s="350"/>
      <c r="K256" s="350"/>
      <c r="L256" s="350"/>
      <c r="M256" s="350"/>
      <c r="N256" s="350"/>
      <c r="O256" s="350"/>
      <c r="P256" s="350"/>
      <c r="Q256" s="328"/>
      <c r="R256" s="328"/>
    </row>
    <row r="257" spans="2:29" ht="15" customHeight="1" x14ac:dyDescent="0.3">
      <c r="B257" s="323" t="s">
        <v>62</v>
      </c>
      <c r="C257" s="323"/>
      <c r="D257" s="25" t="s">
        <v>308</v>
      </c>
      <c r="E257" s="312">
        <f>IF($E$5 &lt; 18, (-4.7817*10^(-2) * $E$5^4 + 1.925 * $E$5^3 - 22.382 * $E$5^2 + 107.09 * $E$5 + 51.125) / 1040, 0.9)</f>
        <v>0.9</v>
      </c>
      <c r="F257" s="312"/>
      <c r="G257" s="338">
        <f>IF($E$5 &lt; 18,  (8.2 * 10^(-2) * ($E$5 * 365.25 * 24) + 4.41*10^(-2) * ($E$5 * 365.25 * 24)^(1.04) + 9*10^1) / 20000, 1.2)</f>
        <v>1.2</v>
      </c>
      <c r="H257" s="338"/>
      <c r="I257" s="330">
        <f>0.021 * ($Q$16 - $D$231)</f>
        <v>1.3368403751790434</v>
      </c>
      <c r="J257" s="330"/>
      <c r="K257" s="315">
        <f>1.65 * 10^(-2) * $Q$16</f>
        <v>1.3246968273846296</v>
      </c>
      <c r="L257" s="315"/>
      <c r="M257" s="312">
        <f>IF($E$5 &lt; 18, (-4.7817*10^(-2) * $E$5^4 + 1.925 * $E$5^3 - 22.382 * $E$5^2 + 107.09 * $E$5 + 51.125) / 1040, 0.9)</f>
        <v>0.9</v>
      </c>
      <c r="N257" s="312"/>
      <c r="O257" s="330">
        <f>IF($E$5 &lt; 16, (-8.2562 * 10^(-5) * $E$5^2 + 1.3523 * 10^(-3) * $E$5 + 1.293 * 10^(-2)) * $Q$16,0.014 * $Q$16)</f>
        <v>1.1239851868718069</v>
      </c>
      <c r="P257" s="330"/>
      <c r="Q257" s="343" t="s">
        <v>55</v>
      </c>
      <c r="R257" s="343"/>
    </row>
    <row r="258" spans="2:29" ht="15" customHeight="1" x14ac:dyDescent="0.3">
      <c r="B258" s="323"/>
      <c r="C258" s="323"/>
      <c r="D258" s="25" t="s">
        <v>309</v>
      </c>
      <c r="E258" s="343" t="s">
        <v>55</v>
      </c>
      <c r="F258" s="343"/>
      <c r="G258" s="338">
        <f t="shared" ref="G258:G270" si="3">IF($E$5 &lt; 18,  (8.2 * 10^(-2) * ($E$5 * 365.25 * 24) + 4.41*10^(-2) * ($E$5 * 365.25 * 24)^(1.04) + 9*10^1) / 20000, 1.2)</f>
        <v>1.2</v>
      </c>
      <c r="H258" s="338"/>
      <c r="I258" s="330">
        <f>0.027 * ($R$16 - $E$231)</f>
        <v>1.1114326118114197</v>
      </c>
      <c r="J258" s="330"/>
      <c r="K258" s="315">
        <f>1.65 * 10^(-2) * $R$16</f>
        <v>1.0894328032444118</v>
      </c>
      <c r="L258" s="315"/>
      <c r="M258" s="312">
        <f>IF($E$5 &lt; 18, (-0.0513 * $E$5^4 + 2.0352 * $E$5^3 - 23.478 * $E$5^2 + 110.61 * $E$5 + 49.229) / 1040, 0.92)</f>
        <v>0.92</v>
      </c>
      <c r="N258" s="312"/>
      <c r="O258" s="330">
        <f>IF($E$5 &lt; 14.453301, (-7.421*10^(-5) * $E$5^2 + 1.276*10^(-3) * $E$5 + 1.298*10^(-2)) * $R$16, 0.016 * $R$16)</f>
        <v>1.0564196879945813</v>
      </c>
      <c r="P258" s="330"/>
      <c r="Q258" s="312">
        <f>IF($E$5 &lt; 18, (-4.7817*10^(-2) * $E$5^4 + 1.925 * $E$5^3 - 22.382 * $E$5^2 + 107.09 * $E$5 + 51.125) / 1040, 0.9)</f>
        <v>0.9</v>
      </c>
      <c r="R258" s="312"/>
    </row>
    <row r="259" spans="2:29" ht="15" customHeight="1" x14ac:dyDescent="0.3">
      <c r="B259" s="323" t="s">
        <v>69</v>
      </c>
      <c r="C259" s="323"/>
      <c r="D259" s="25" t="s">
        <v>308</v>
      </c>
      <c r="E259" s="312">
        <f>IF($E$5 &lt; 18, (-4.7817*10^(-2) * $E$5^4 + 1.925 * $E$5^3 - 22.382 * $E$5^2 + 107.09 * $E$5 + 51.125) / 1040, 0.9)</f>
        <v>0.9</v>
      </c>
      <c r="F259" s="312"/>
      <c r="G259" s="338">
        <f t="shared" si="3"/>
        <v>1.2</v>
      </c>
      <c r="H259" s="338"/>
      <c r="I259" s="330">
        <f>0.021 * ($Q$16 - $D$232)</f>
        <v>1.5408677803077107</v>
      </c>
      <c r="J259" s="330"/>
      <c r="K259" s="315">
        <f>1.65 * 10^(-2) * $Q$16</f>
        <v>1.3246968273846296</v>
      </c>
      <c r="L259" s="315"/>
      <c r="M259" s="312">
        <f>IF($E$5 &lt; 18, (-4.7817*10^(-2) * $E$5^4 + 1.925 * $E$5^3 - 22.382 * $E$5^2 + 107.09 * $E$5 + 51.125) / 1040, 0.9)</f>
        <v>0.9</v>
      </c>
      <c r="N259" s="312"/>
      <c r="O259" s="330">
        <f>IF($E$5 &lt; 16, (-8.2562 * 10^(-5) * $E$5^2 + 1.3523 * 10^(-3) * $E$5 + 1.293 * 10^(-2)) * $Q$16,0.014 * $Q$16)</f>
        <v>1.1239851868718069</v>
      </c>
      <c r="P259" s="330"/>
      <c r="Q259" s="353" t="s">
        <v>55</v>
      </c>
      <c r="R259" s="353"/>
    </row>
    <row r="260" spans="2:29" ht="15" customHeight="1" x14ac:dyDescent="0.3">
      <c r="B260" s="323"/>
      <c r="C260" s="323"/>
      <c r="D260" s="25" t="s">
        <v>309</v>
      </c>
      <c r="E260" s="343" t="s">
        <v>55</v>
      </c>
      <c r="F260" s="343"/>
      <c r="G260" s="338">
        <f t="shared" si="3"/>
        <v>1.2</v>
      </c>
      <c r="H260" s="338"/>
      <c r="I260" s="343" t="s">
        <v>55</v>
      </c>
      <c r="J260" s="343"/>
      <c r="K260" s="315">
        <f>1.65 * 10^(-2) * $R$16</f>
        <v>1.0894328032444118</v>
      </c>
      <c r="L260" s="315"/>
      <c r="M260" s="312">
        <f>IF($E$5 &lt; 18, (-0.0513 * $E$5^4 + 2.0352 * $E$5^3 - 23.478 * $E$5^2 + 110.61 * $E$5 + 49.229) / 1040, 0.92)</f>
        <v>0.92</v>
      </c>
      <c r="N260" s="312"/>
      <c r="O260" s="330">
        <f>IF($E$5 &lt; 14.453301, (-7.421*10^(-5) * $E$5^2 + 1.276*10^(-3) * $E$5 + 1.298*10^(-2)) * $R$16, 0.016 * $R$16)</f>
        <v>1.0564196879945813</v>
      </c>
      <c r="P260" s="330"/>
      <c r="Q260" s="312">
        <f>IF($E$5 &lt; 18, (-4.7817*10^(-2) * $E$5^4 + 1.925 * $E$5^3 - 22.382 * $E$5^2 + 107.09 * $E$5 + 51.125) / 1040, 0.9)</f>
        <v>0.9</v>
      </c>
      <c r="R260" s="312"/>
    </row>
    <row r="261" spans="2:29" ht="15" customHeight="1" x14ac:dyDescent="0.3">
      <c r="B261" s="323" t="s">
        <v>57</v>
      </c>
      <c r="C261" s="323"/>
      <c r="D261" s="25" t="s">
        <v>308</v>
      </c>
      <c r="E261" s="312">
        <f>IF($E$5 &lt; 18, (-4.7817*10^(-2) * $E$5^4 + 1.925 * $E$5^3 - 22.382 * $E$5^2 + 107.09 * $E$5 + 51.125) / 1040, 0.9)</f>
        <v>0.9</v>
      </c>
      <c r="F261" s="312"/>
      <c r="G261" s="338">
        <f t="shared" si="3"/>
        <v>1.2</v>
      </c>
      <c r="H261" s="338"/>
      <c r="I261" s="343" t="s">
        <v>55</v>
      </c>
      <c r="J261" s="343"/>
      <c r="K261" s="315">
        <f>1.65 * 10^(-2) * $Q$16</f>
        <v>1.3246968273846296</v>
      </c>
      <c r="L261" s="315"/>
      <c r="M261" s="312">
        <f>IF($E$5 &lt; 18, (-4.7817*10^(-2) * $E$5^4 + 1.925 * $E$5^3 - 22.382 * $E$5^2 + 107.09 * $E$5 + 51.125) / 1040, 0.9)</f>
        <v>0.9</v>
      </c>
      <c r="N261" s="312"/>
      <c r="O261" s="330">
        <f>IF($E$5 &lt; 16, (-8.2562 * 10^(-5) * $E$5^2 + 1.3523 * 10^(-3) * $E$5 + 1.293 * 10^(-2)) * $Q$16,0.014 * $Q$16)</f>
        <v>1.1239851868718069</v>
      </c>
      <c r="P261" s="330"/>
      <c r="Q261" s="353" t="s">
        <v>55</v>
      </c>
      <c r="R261" s="353"/>
    </row>
    <row r="262" spans="2:29" ht="15" customHeight="1" x14ac:dyDescent="0.3">
      <c r="B262" s="323"/>
      <c r="C262" s="323"/>
      <c r="D262" s="25" t="s">
        <v>309</v>
      </c>
      <c r="E262" s="343" t="s">
        <v>55</v>
      </c>
      <c r="F262" s="343"/>
      <c r="G262" s="338">
        <f t="shared" si="3"/>
        <v>1.2</v>
      </c>
      <c r="H262" s="338"/>
      <c r="I262" s="330">
        <f>0.027 * ($R$16 - $E$233)</f>
        <v>1.0970334413872438</v>
      </c>
      <c r="J262" s="330"/>
      <c r="K262" s="315">
        <f>1.65 * 10^(-2) * $R$16</f>
        <v>1.0894328032444118</v>
      </c>
      <c r="L262" s="315"/>
      <c r="M262" s="312">
        <f>IF($E$5 &lt; 18, (-0.0513 * $E$5^4 + 2.0352 * $E$5^3 - 23.478 * $E$5^2 + 110.61 * $E$5 + 49.229) / 1040, 0.92)</f>
        <v>0.92</v>
      </c>
      <c r="N262" s="312"/>
      <c r="O262" s="330">
        <f>IF($E$5 &lt; 14.453301, (-7.421*10^(-5) * $E$5^2 + 1.276*10^(-3) * $E$5 + 1.298*10^(-2)) * $R$16, 0.016 * $R$16)</f>
        <v>1.0564196879945813</v>
      </c>
      <c r="P262" s="330"/>
      <c r="Q262" s="312">
        <f>IF($E$5 &lt; 18, (-4.7817*10^(-2) * $E$5^4 + 1.925 * $E$5^3 - 22.382 * $E$5^2 + 107.09 * $E$5 + 51.125) / 1040, 0.9)</f>
        <v>0.9</v>
      </c>
      <c r="R262" s="312"/>
    </row>
    <row r="263" spans="2:29" ht="15" customHeight="1" x14ac:dyDescent="0.3">
      <c r="B263" s="323" t="s">
        <v>90</v>
      </c>
      <c r="C263" s="323"/>
      <c r="D263" s="25" t="s">
        <v>308</v>
      </c>
      <c r="E263" s="312">
        <f>IF($E$5 &lt; 18, (-4.7817*10^(-2) * $E$5^4 + 1.925 * $E$5^3 - 22.382 * $E$5^2 + 107.09 * $E$5 + 51.125) / 1040, 0.9)</f>
        <v>0.9</v>
      </c>
      <c r="F263" s="312"/>
      <c r="G263" s="338">
        <f t="shared" si="3"/>
        <v>1.2</v>
      </c>
      <c r="H263" s="338"/>
      <c r="I263" s="330">
        <f>0.021 * ($Q$16 - $D$234)</f>
        <v>1.3835777803077103</v>
      </c>
      <c r="J263" s="330"/>
      <c r="K263" s="315">
        <f>1.65 * 10^(-2) * $Q$16</f>
        <v>1.3246968273846296</v>
      </c>
      <c r="L263" s="315"/>
      <c r="M263" s="312">
        <f>IF($E$5 &lt; 18, (-4.7817*10^(-2) * $E$5^4 + 1.925 * $E$5^3 - 22.382 * $E$5^2 + 107.09 * $E$5 + 51.125) / 1040, 0.9)</f>
        <v>0.9</v>
      </c>
      <c r="N263" s="312"/>
      <c r="O263" s="330">
        <f>IF($E$5 &lt; 16, (-8.2562 * 10^(-5) * $E$5^2 + 1.3523 * 10^(-3) * $E$5 + 1.293 * 10^(-2)) * $Q$16,0.014 * $Q$16)</f>
        <v>1.1239851868718069</v>
      </c>
      <c r="P263" s="330"/>
      <c r="Q263" s="353" t="s">
        <v>55</v>
      </c>
      <c r="R263" s="353"/>
    </row>
    <row r="264" spans="2:29" ht="15" customHeight="1" x14ac:dyDescent="0.3">
      <c r="B264" s="323"/>
      <c r="C264" s="323"/>
      <c r="D264" s="25" t="s">
        <v>309</v>
      </c>
      <c r="E264" s="343" t="s">
        <v>55</v>
      </c>
      <c r="F264" s="343"/>
      <c r="G264" s="338">
        <f t="shared" si="3"/>
        <v>1.2</v>
      </c>
      <c r="H264" s="338"/>
      <c r="I264" s="330">
        <f>0.027 * ($R$16 - $E$234)</f>
        <v>1.3939082234908557</v>
      </c>
      <c r="J264" s="330"/>
      <c r="K264" s="315">
        <f>1.65 * 10^(-2) * $R$16</f>
        <v>1.0894328032444118</v>
      </c>
      <c r="L264" s="315"/>
      <c r="M264" s="312">
        <f>IF($E$5 &lt; 18, (-0.0513 * $E$5^4 + 2.0352 * $E$5^3 - 23.478 * $E$5^2 + 110.61 * $E$5 + 49.229) / 1040, 0.92)</f>
        <v>0.92</v>
      </c>
      <c r="N264" s="312"/>
      <c r="O264" s="330">
        <f>IF($E$5 &lt; 14.453301, (-7.421*10^(-5) * $E$5^2 + 1.276*10^(-3) * $E$5 + 1.298*10^(-2)) * $R$16, 0.016 * $R$16)</f>
        <v>1.0564196879945813</v>
      </c>
      <c r="P264" s="330"/>
      <c r="Q264" s="312">
        <f>IF($E$5 &lt; 18, (-4.7817*10^(-2) * $E$5^4 + 1.925 * $E$5^3 - 22.382 * $E$5^2 + 107.09 * $E$5 + 51.125) / 1040, 0.9)</f>
        <v>0.9</v>
      </c>
      <c r="R264" s="312"/>
    </row>
    <row r="265" spans="2:29" ht="15" customHeight="1" x14ac:dyDescent="0.3">
      <c r="B265" s="323" t="s">
        <v>65</v>
      </c>
      <c r="C265" s="323"/>
      <c r="D265" s="25" t="s">
        <v>308</v>
      </c>
      <c r="E265" s="312">
        <f>IF($E$5 &lt; 18, (-4.7817*10^(-2) * $E$5^4 + 1.925 * $E$5^3 - 22.382 * $E$5^2 + 107.09 * $E$5 + 51.125) / 1040, 0.9)</f>
        <v>0.9</v>
      </c>
      <c r="F265" s="312"/>
      <c r="G265" s="338">
        <f t="shared" si="3"/>
        <v>1.2</v>
      </c>
      <c r="H265" s="338"/>
      <c r="I265" s="330">
        <f>0.021 * ($Q$16 - $D$235)</f>
        <v>1.2340978125237623</v>
      </c>
      <c r="J265" s="330"/>
      <c r="K265" s="315">
        <f>1.65 * 10^(-2) * $Q$16</f>
        <v>1.3246968273846296</v>
      </c>
      <c r="L265" s="315"/>
      <c r="M265" s="312">
        <f>IF($E$5 &lt; 18, (-4.7817*10^(-2) * $E$5^4 + 1.925 * $E$5^3 - 22.382 * $E$5^2 + 107.09 * $E$5 + 51.125) / 1040, 0.9)</f>
        <v>0.9</v>
      </c>
      <c r="N265" s="312"/>
      <c r="O265" s="330">
        <f>IF($E$5 &lt; 16, (-8.2562 * 10^(-5) * $E$5^2 + 1.3523 * 10^(-3) * $E$5 + 1.293 * 10^(-2)) * $Q$16,0.014 * $Q$16)</f>
        <v>1.1239851868718069</v>
      </c>
      <c r="P265" s="330"/>
      <c r="Q265" s="353" t="s">
        <v>55</v>
      </c>
      <c r="R265" s="353"/>
    </row>
    <row r="266" spans="2:29" ht="15" customHeight="1" x14ac:dyDescent="0.3">
      <c r="B266" s="323"/>
      <c r="C266" s="323"/>
      <c r="D266" s="25" t="s">
        <v>309</v>
      </c>
      <c r="E266" s="343" t="s">
        <v>55</v>
      </c>
      <c r="F266" s="343"/>
      <c r="G266" s="338">
        <f t="shared" si="3"/>
        <v>1.2</v>
      </c>
      <c r="H266" s="338"/>
      <c r="I266" s="330">
        <f>0.027 * ($R$16 - $E$235)</f>
        <v>1.136806682853913</v>
      </c>
      <c r="J266" s="330"/>
      <c r="K266" s="315">
        <f>1.65 * 10^(-2) * $R$16</f>
        <v>1.0894328032444118</v>
      </c>
      <c r="L266" s="315"/>
      <c r="M266" s="312">
        <f>IF($E$5 &lt; 18, (-0.0513 * $E$5^4 + 2.0352 * $E$5^3 - 23.478 * $E$5^2 + 110.61 * $E$5 + 49.229) / 1040, 0.92)</f>
        <v>0.92</v>
      </c>
      <c r="N266" s="312"/>
      <c r="O266" s="330">
        <f>IF($E$5 &lt; 14.453301, (-7.421*10^(-5) * $E$5^2 + 1.276*10^(-3) * $E$5 + 1.298*10^(-2)) * $R$16, 0.016 * $R$16)</f>
        <v>1.0564196879945813</v>
      </c>
      <c r="P266" s="330"/>
      <c r="Q266" s="312">
        <f>IF($E$5 &lt; 18, (-4.7817*10^(-2) * $E$5^4 + 1.925 * $E$5^3 - 22.382 * $E$5^2 + 107.09 * $E$5 + 51.125) / 1040, 0.9)</f>
        <v>0.9</v>
      </c>
      <c r="R266" s="312"/>
    </row>
    <row r="267" spans="2:29" ht="15" customHeight="1" x14ac:dyDescent="0.3">
      <c r="B267" s="323" t="s">
        <v>64</v>
      </c>
      <c r="C267" s="323"/>
      <c r="D267" s="25" t="s">
        <v>308</v>
      </c>
      <c r="E267" s="312">
        <f>IF($E$5 &lt; 18, (-4.7817*10^(-2) * $E$5^4 + 1.925 * $E$5^3 - 22.382 * $E$5^2 + 107.09 * $E$5 + 51.125) / 1040, 0.9)</f>
        <v>0.9</v>
      </c>
      <c r="F267" s="312"/>
      <c r="G267" s="338">
        <f t="shared" si="3"/>
        <v>1.2</v>
      </c>
      <c r="H267" s="338"/>
      <c r="I267" s="330">
        <f>0.021 * ($Q$16 - $D$236)</f>
        <v>1.2306883747982713</v>
      </c>
      <c r="J267" s="330"/>
      <c r="K267" s="315">
        <f>1.65 * 10^(-2) * $Q$16</f>
        <v>1.3246968273846296</v>
      </c>
      <c r="L267" s="315"/>
      <c r="M267" s="312">
        <f>IF($E$5 &lt; 18, (-4.7817*10^(-2) * $E$5^4 + 1.925 * $E$5^3 - 22.382 * $E$5^2 + 107.09 * $E$5 + 51.125) / 1040, 0.9)</f>
        <v>0.9</v>
      </c>
      <c r="N267" s="312"/>
      <c r="O267" s="330">
        <f>IF($E$5 &lt; 16, (-8.2562 * 10^(-5) * $E$5^2 + 1.3523 * 10^(-3) * $E$5 + 1.293 * 10^(-2)) * $Q$16,0.014 * $Q$16)</f>
        <v>1.1239851868718069</v>
      </c>
      <c r="P267" s="330"/>
      <c r="Q267" s="353" t="s">
        <v>55</v>
      </c>
      <c r="R267" s="353"/>
    </row>
    <row r="268" spans="2:29" ht="15" customHeight="1" x14ac:dyDescent="0.3">
      <c r="B268" s="323"/>
      <c r="C268" s="323"/>
      <c r="D268" s="25" t="s">
        <v>309</v>
      </c>
      <c r="E268" s="343" t="s">
        <v>55</v>
      </c>
      <c r="F268" s="343"/>
      <c r="G268" s="338">
        <f t="shared" si="3"/>
        <v>1.2</v>
      </c>
      <c r="H268" s="338"/>
      <c r="I268" s="330">
        <f>0.027 * ($R$16 - $E$236)</f>
        <v>1.0970334413872438</v>
      </c>
      <c r="J268" s="330"/>
      <c r="K268" s="315">
        <f>1.65 * 10^(-2) * $R$16</f>
        <v>1.0894328032444118</v>
      </c>
      <c r="L268" s="315"/>
      <c r="M268" s="312">
        <f>IF($E$5 &lt; 18, (-0.0513 * $E$5^4 + 2.0352 * $E$5^3 - 23.478 * $E$5^2 + 110.61 * $E$5 + 49.229) / 1040, 0.92)</f>
        <v>0.92</v>
      </c>
      <c r="N268" s="312"/>
      <c r="O268" s="330">
        <f>IF($E$5 &lt; 14.453301, (-7.421*10^(-5) * $E$5^2 + 1.276*10^(-3) * $E$5 + 1.298*10^(-2)) * $R$16, 0.016 * $R$16)</f>
        <v>1.0564196879945813</v>
      </c>
      <c r="P268" s="330"/>
      <c r="Q268" s="312">
        <f>IF($E$5 &lt; 18, (-4.7817*10^(-2) * $E$5^4 + 1.925 * $E$5^3 - 22.382 * $E$5^2 + 107.09 * $E$5 + 51.125) / 1040, 0.9)</f>
        <v>0.9</v>
      </c>
      <c r="R268" s="312"/>
    </row>
    <row r="269" spans="2:29" ht="15" customHeight="1" x14ac:dyDescent="0.3">
      <c r="B269" s="323" t="s">
        <v>102</v>
      </c>
      <c r="C269" s="323"/>
      <c r="D269" s="25" t="s">
        <v>308</v>
      </c>
      <c r="E269" s="312">
        <f>IF($E$5 &lt; 18, (-4.7817*10^(-2) * $E$5^4 + 1.925 * $E$5^3 - 22.382 * $E$5^2 + 107.09 * $E$5 + 51.125) / 1040, 0.9)</f>
        <v>0.9</v>
      </c>
      <c r="F269" s="312"/>
      <c r="G269" s="338">
        <f t="shared" si="3"/>
        <v>1.2</v>
      </c>
      <c r="H269" s="338"/>
      <c r="I269" s="330">
        <f>0.021 * ($Q$16 - $D$237)</f>
        <v>1.2469926910559934</v>
      </c>
      <c r="J269" s="330"/>
      <c r="K269" s="315">
        <f>1.65 * 10^(-2) * $Q$16</f>
        <v>1.3246968273846296</v>
      </c>
      <c r="L269" s="315"/>
      <c r="M269" s="312">
        <f>IF($E$5 &lt; 18, (-4.7817*10^(-2) * $E$5^4 + 1.925 * $E$5^3 - 22.382 * $E$5^2 + 107.09 * $E$5 + 51.125) / 1040, 0.9)</f>
        <v>0.9</v>
      </c>
      <c r="N269" s="312"/>
      <c r="O269" s="330">
        <f>IF($E$5 &lt; 16, (-8.2562 * 10^(-5) * $E$5^2 + 1.3523 * 10^(-3) * $E$5 + 1.293 * 10^(-2)) * $Q$16,0.014 * $Q$16)</f>
        <v>1.1239851868718069</v>
      </c>
      <c r="P269" s="330"/>
      <c r="Q269" s="353" t="s">
        <v>55</v>
      </c>
      <c r="R269" s="353"/>
    </row>
    <row r="270" spans="2:29" ht="15" customHeight="1" thickBot="1" x14ac:dyDescent="0.35">
      <c r="B270" s="323"/>
      <c r="C270" s="323"/>
      <c r="D270" s="25" t="s">
        <v>309</v>
      </c>
      <c r="E270" s="343" t="s">
        <v>55</v>
      </c>
      <c r="F270" s="343"/>
      <c r="G270" s="338">
        <f t="shared" si="3"/>
        <v>1.2</v>
      </c>
      <c r="H270" s="338"/>
      <c r="I270" s="330">
        <f>0.027 * ($R$16 - $E$237)</f>
        <v>1.1868350163310226</v>
      </c>
      <c r="J270" s="330"/>
      <c r="K270" s="315">
        <f>1.65 * 10^(-2) * $R$16</f>
        <v>1.0894328032444118</v>
      </c>
      <c r="L270" s="315"/>
      <c r="M270" s="312">
        <f>IF($E$5 &lt; 18, (-0.0513 * $E$5^4 + 2.0352 * $E$5^3 - 23.478 * $E$5^2 + 110.61 * $E$5 + 49.229) / 1040, 0.92)</f>
        <v>0.92</v>
      </c>
      <c r="N270" s="312"/>
      <c r="O270" s="330">
        <f>IF($E$5 &lt; 14.453301, (-7.421*10^(-5) * $E$5^2 + 1.276*10^(-3) * $E$5 + 1.298*10^(-2)) * $R$16, 0.016 * $R$16)</f>
        <v>1.0564196879945813</v>
      </c>
      <c r="P270" s="330"/>
      <c r="Q270" s="312">
        <f>IF($E$5 &lt; 18, (-4.7817*10^(-2) * $E$5^4 + 1.925 * $E$5^3 - 22.382 * $E$5^2 + 107.09 * $E$5 + 51.125) / 1040, 0.9)</f>
        <v>0.9</v>
      </c>
      <c r="R270" s="312"/>
    </row>
    <row r="271" spans="2:29" ht="15" customHeight="1" thickBot="1" x14ac:dyDescent="0.35">
      <c r="B271" s="129"/>
      <c r="C271" s="130"/>
      <c r="D271" s="131"/>
      <c r="E271" s="132"/>
      <c r="F271" s="132"/>
      <c r="G271" s="133"/>
      <c r="H271" s="133"/>
      <c r="I271" s="132"/>
      <c r="J271" s="132"/>
      <c r="K271" s="132"/>
      <c r="L271" s="132"/>
      <c r="M271" s="132"/>
      <c r="N271" s="132"/>
      <c r="O271" s="132"/>
      <c r="P271" s="132"/>
      <c r="Q271" s="132"/>
      <c r="R271" s="166"/>
      <c r="S271" s="170"/>
      <c r="T271" s="170"/>
      <c r="U271" s="169"/>
      <c r="V271" s="357" t="s">
        <v>344</v>
      </c>
      <c r="W271" s="359" t="s">
        <v>325</v>
      </c>
      <c r="X271" s="360"/>
      <c r="Y271" s="361"/>
      <c r="Z271" s="169"/>
      <c r="AA271" s="169"/>
      <c r="AB271" s="170"/>
      <c r="AC271" s="170"/>
    </row>
    <row r="272" spans="2:29" s="105" customFormat="1" ht="16.8" thickTop="1" thickBot="1" x14ac:dyDescent="0.35">
      <c r="B272" s="332" t="s">
        <v>326</v>
      </c>
      <c r="C272" s="333"/>
      <c r="D272" s="127"/>
      <c r="E272" s="128" t="s">
        <v>327</v>
      </c>
      <c r="F272" s="128" t="s">
        <v>328</v>
      </c>
      <c r="G272" s="128" t="s">
        <v>327</v>
      </c>
      <c r="H272" s="128" t="s">
        <v>328</v>
      </c>
      <c r="I272" s="128" t="s">
        <v>327</v>
      </c>
      <c r="J272" s="128" t="s">
        <v>328</v>
      </c>
      <c r="K272" s="128" t="s">
        <v>327</v>
      </c>
      <c r="L272" s="128" t="s">
        <v>328</v>
      </c>
      <c r="M272" s="128" t="s">
        <v>327</v>
      </c>
      <c r="N272" s="128" t="s">
        <v>328</v>
      </c>
      <c r="O272" s="128" t="s">
        <v>327</v>
      </c>
      <c r="P272" s="128" t="s">
        <v>328</v>
      </c>
      <c r="Q272" s="128" t="s">
        <v>327</v>
      </c>
      <c r="R272" s="167" t="s">
        <v>328</v>
      </c>
      <c r="S272" s="171"/>
      <c r="T272" s="171"/>
      <c r="U272" s="171"/>
      <c r="V272" s="358"/>
      <c r="W272" s="140" t="s">
        <v>327</v>
      </c>
      <c r="X272" s="141" t="s">
        <v>328</v>
      </c>
      <c r="Y272" s="142" t="s">
        <v>329</v>
      </c>
      <c r="Z272" s="171"/>
      <c r="AA272" s="171"/>
      <c r="AB272" s="171"/>
      <c r="AC272" s="171"/>
    </row>
    <row r="273" spans="1:29" s="105" customFormat="1" x14ac:dyDescent="0.3">
      <c r="B273" s="332"/>
      <c r="C273" s="333"/>
      <c r="D273" s="23" t="s">
        <v>308</v>
      </c>
      <c r="E273" s="135">
        <f>AVERAGE(E257,E259,E261,E263,E265,E267,E269)</f>
        <v>0.90000000000000013</v>
      </c>
      <c r="F273" s="135">
        <f>STDEV(E257,E259,E261,E263,E265,E267,E269)</f>
        <v>1.1991779233329541E-16</v>
      </c>
      <c r="G273" s="135">
        <f>AVERAGE(G257,G259,G261,G263,G265,G267,G269)</f>
        <v>1.2</v>
      </c>
      <c r="H273" s="135">
        <f>STDEV(G257,G259,G261,G263,G265,G267,G269)</f>
        <v>0</v>
      </c>
      <c r="I273" s="135">
        <f>AVERAGE(I257,I259,I261,I263,I265,I267,I269)</f>
        <v>1.3288441356954153</v>
      </c>
      <c r="J273" s="135">
        <f>STDEV(I257,I259,I261,I263,I265,I267,I269)</f>
        <v>0.12109898076739574</v>
      </c>
      <c r="K273" s="135">
        <f>AVERAGE(K257,K259,K261,K263,K265,K267,K269)</f>
        <v>1.3246968273846296</v>
      </c>
      <c r="L273" s="135">
        <f>STDEV(K257,K259,K261,K263,K265,K267,K269)</f>
        <v>0</v>
      </c>
      <c r="M273" s="135">
        <f>AVERAGE(M257,M259,M261,M263,M265,M267,M269)</f>
        <v>0.90000000000000013</v>
      </c>
      <c r="N273" s="135">
        <f>STDEV(M257,M259,M261,M263,M265,M267,M269)</f>
        <v>1.1991779233329541E-16</v>
      </c>
      <c r="O273" s="135">
        <f>AVERAGE(O257,O259,O261,O263,O265,O267,O269)</f>
        <v>1.1239851868718069</v>
      </c>
      <c r="P273" s="135">
        <f>STDEV(O257,O259,O261,O263,O265,O267,O269)</f>
        <v>0</v>
      </c>
      <c r="S273" s="110"/>
      <c r="T273" s="110"/>
      <c r="U273" s="110"/>
      <c r="V273" s="172" t="s">
        <v>330</v>
      </c>
      <c r="W273" s="163">
        <f>AVERAGE(E273,G273,I273,K273,M273,O273,Q274)</f>
        <v>1.0967894499931219</v>
      </c>
      <c r="X273" s="164">
        <f>STDEV(E273,G273,I273,K273,M273,O273,Q274)</f>
        <v>0.19721453565797584</v>
      </c>
      <c r="Y273" s="165">
        <f>(X273/W273)*100</f>
        <v>17.98107518806026</v>
      </c>
      <c r="Z273" s="110"/>
      <c r="AA273" s="110"/>
      <c r="AB273" s="110"/>
      <c r="AC273" s="110"/>
    </row>
    <row r="274" spans="1:29" s="105" customFormat="1" ht="16.2" thickBot="1" x14ac:dyDescent="0.35">
      <c r="B274" s="334"/>
      <c r="C274" s="335"/>
      <c r="D274" s="23" t="s">
        <v>309</v>
      </c>
      <c r="E274" s="135"/>
      <c r="F274" s="135"/>
      <c r="G274" s="135">
        <f>AVERAGE(G258,G260,G262,G264,G266,G268,G270)</f>
        <v>1.2</v>
      </c>
      <c r="H274" s="135">
        <f>STDEV(G258,G260,G262,G264,G266,G268,G270)</f>
        <v>0</v>
      </c>
      <c r="I274" s="135">
        <f>AVERAGE(I258,I260,I262,I264,I266,I268,I270)</f>
        <v>1.1705082362102832</v>
      </c>
      <c r="J274" s="135">
        <f>STDEV(I258,I260,I262,I264,I266,I268,I270)</f>
        <v>0.11453989096502082</v>
      </c>
      <c r="K274" s="135">
        <f>AVERAGE(K258,K260,K262,K264,K266,K268,K270)</f>
        <v>1.0894328032444118</v>
      </c>
      <c r="L274" s="135">
        <f>STDEV(K258,K260,K262,K264,K266,K268,K270)</f>
        <v>0</v>
      </c>
      <c r="M274" s="135">
        <f>AVERAGE(M258,M260,M262,M264,M266,M268,M270)</f>
        <v>0.92</v>
      </c>
      <c r="N274" s="135">
        <f>STDEV(M258,M260,M262,M264,M266,M268,M270)</f>
        <v>0</v>
      </c>
      <c r="O274" s="135">
        <f>AVERAGE(O258,O260,O262,O264,O266,O268,O270)</f>
        <v>1.0564196879945813</v>
      </c>
      <c r="P274" s="135">
        <f>STDEV(O258,O260,O262,O264,O266,O268,O270)</f>
        <v>0</v>
      </c>
      <c r="Q274" s="135">
        <f>AVERAGE(Q258,Q260,Q262,Q264,Q266,Q268,Q270)</f>
        <v>0.90000000000000013</v>
      </c>
      <c r="R274" s="168">
        <f>STDEV(Q258,Q260,Q262,Q264,Q266,Q268,Q270)</f>
        <v>1.1991779233329541E-16</v>
      </c>
      <c r="S274" s="110"/>
      <c r="T274" s="110"/>
      <c r="U274" s="110"/>
      <c r="V274" s="173" t="s">
        <v>309</v>
      </c>
      <c r="W274" s="146" t="e">
        <f>AVERAGE(E274,G274,I274,K274,M274,O274,#REF!)</f>
        <v>#REF!</v>
      </c>
      <c r="X274" s="147" t="e">
        <f>STDEV(E274,G274,I274,K274,M274,O274,#REF!)</f>
        <v>#REF!</v>
      </c>
      <c r="Y274" s="148" t="e">
        <f>(X274/W274)*100</f>
        <v>#REF!</v>
      </c>
      <c r="Z274" s="110"/>
      <c r="AA274" s="110"/>
      <c r="AB274" s="110"/>
      <c r="AC274" s="110"/>
    </row>
    <row r="277" spans="1:29" ht="17.399999999999999" customHeight="1" x14ac:dyDescent="0.35">
      <c r="A277" s="321" t="s">
        <v>262</v>
      </c>
      <c r="B277" s="321"/>
      <c r="C277" s="321"/>
      <c r="D277" s="321"/>
      <c r="E277" s="321"/>
    </row>
    <row r="279" spans="1:29" ht="15" customHeight="1" x14ac:dyDescent="0.3">
      <c r="B279" s="319" t="s">
        <v>37</v>
      </c>
      <c r="C279" s="319"/>
      <c r="D279" s="23" t="s">
        <v>308</v>
      </c>
      <c r="E279" s="23" t="s">
        <v>309</v>
      </c>
    </row>
    <row r="280" spans="1:29" ht="15" customHeight="1" x14ac:dyDescent="0.3">
      <c r="B280" s="351" t="s">
        <v>69</v>
      </c>
      <c r="C280" s="351"/>
      <c r="D280" s="32">
        <f>IF($E$5 &lt; 18,  (-0.0132 * $E$5^4 + 0.5051 * $E$5^3 - 5.7113 * $E$5^2 + 32.213 * $E$5 + 20.354) / 1030, 0.3)</f>
        <v>0.3</v>
      </c>
      <c r="E280" s="27" t="s">
        <v>55</v>
      </c>
    </row>
    <row r="281" spans="1:29" ht="15" customHeight="1" thickBot="1" x14ac:dyDescent="0.35">
      <c r="B281" s="351" t="s">
        <v>90</v>
      </c>
      <c r="C281" s="351"/>
      <c r="D281" s="32">
        <f>IF($E$5 &lt; 18,  (4.68*10^(-2)*($E$5*365.25 *24)-3.81*10^(-2) *($E$5*365.25*24)^(1.01)+2.8*10^1)/2000,0.32)</f>
        <v>0.32</v>
      </c>
      <c r="E281" s="32">
        <f>IF($E$5 &lt; 18,  (4.68*10^(-2)*($E$5*365.25 *24)-3.81*10^(-2) *($E$5*365.25*24)^(1.01)+2.8*10^1)/2000,0.32)</f>
        <v>0.32</v>
      </c>
    </row>
    <row r="282" spans="1:29" ht="15" customHeight="1" x14ac:dyDescent="0.3">
      <c r="B282" s="351" t="s">
        <v>51</v>
      </c>
      <c r="C282" s="351"/>
      <c r="D282" s="34">
        <f>1.017*10^(-7) * ($Q$17^(0.664) * $Q$16^(0.3851) * 242.7)^1.42</f>
        <v>0.35320847941129979</v>
      </c>
      <c r="E282" s="34">
        <f>1.017*10^(-7) * ($R$17^(0.6862) * $R$16^(0.3561) *242.7)^1.42</f>
        <v>0.29414564715883418</v>
      </c>
      <c r="V282" s="357" t="s">
        <v>345</v>
      </c>
      <c r="W282" s="359" t="s">
        <v>325</v>
      </c>
      <c r="X282" s="360"/>
      <c r="Y282" s="361"/>
    </row>
    <row r="283" spans="1:29" ht="15" customHeight="1" thickBot="1" x14ac:dyDescent="0.35">
      <c r="B283" s="351" t="s">
        <v>54</v>
      </c>
      <c r="C283" s="351"/>
      <c r="D283" s="27" t="s">
        <v>55</v>
      </c>
      <c r="E283" s="34">
        <f>1.017*10^(-7) * ($R$17^(0.6862) * $R$16^(0.3561) *242.7)^1.42</f>
        <v>0.29414564715883418</v>
      </c>
      <c r="V283" s="358"/>
      <c r="W283" s="153" t="s">
        <v>327</v>
      </c>
      <c r="X283" s="154" t="s">
        <v>328</v>
      </c>
      <c r="Y283" s="155" t="s">
        <v>329</v>
      </c>
    </row>
    <row r="284" spans="1:29" ht="15" customHeight="1" x14ac:dyDescent="0.3">
      <c r="B284" s="351" t="s">
        <v>94</v>
      </c>
      <c r="C284" s="351"/>
      <c r="D284" s="32">
        <f>IF($E$5 &lt; 18,  (-0.0132 * $E$5^4 + 0.5051 * $E$5^3 - 5.7113 * $E$5^2 + 32.213 * $E$5 + 20.354) / 1030, 0.3)</f>
        <v>0.3</v>
      </c>
      <c r="E284" s="32">
        <f>IF($E$5 &lt; 18,  (4.246*10^(-4) * $E$5^5 - 2.97679*10^(-2) * $E$5^4 + 0.6539 * $E$5^3 - 5.5116 * $E$5^2 + 28.486 * $E$5 + 21.509) / 1030, 0.24)</f>
        <v>0.24</v>
      </c>
      <c r="V284" s="151" t="s">
        <v>330</v>
      </c>
      <c r="W284" s="143">
        <f>AVERAGE(D280:D285)</f>
        <v>0.32689788646687612</v>
      </c>
      <c r="X284" s="144">
        <f>STDEV((D280:D285))</f>
        <v>2.9021612595179696E-2</v>
      </c>
      <c r="Y284" s="145">
        <f>(X284/W284)*100</f>
        <v>8.8778832157180041</v>
      </c>
    </row>
    <row r="285" spans="1:29" ht="15" customHeight="1" thickBot="1" x14ac:dyDescent="0.35">
      <c r="B285" s="351" t="s">
        <v>77</v>
      </c>
      <c r="C285" s="351"/>
      <c r="D285" s="30">
        <f>0.0045 * $Q$16</f>
        <v>0.36128095292308077</v>
      </c>
      <c r="E285" s="30">
        <f>0.004167 * $R$16</f>
        <v>0.27513130249208873</v>
      </c>
      <c r="V285" s="152" t="s">
        <v>309</v>
      </c>
      <c r="W285" s="146">
        <f>AVERAGE(E280:E285)</f>
        <v>0.28468451936195144</v>
      </c>
      <c r="X285" s="147">
        <f>STDEV(E280:E285)</f>
        <v>2.9640256722258333E-2</v>
      </c>
      <c r="Y285" s="148">
        <f>(X285/W285)*100</f>
        <v>10.41161521135378</v>
      </c>
    </row>
    <row r="288" spans="1:29" ht="17.399999999999999" customHeight="1" x14ac:dyDescent="0.35">
      <c r="A288" s="321" t="s">
        <v>346</v>
      </c>
      <c r="B288" s="321"/>
      <c r="C288" s="321"/>
      <c r="D288" s="321"/>
      <c r="E288" s="321"/>
    </row>
    <row r="290" spans="1:25" ht="15" customHeight="1" thickBot="1" x14ac:dyDescent="0.35">
      <c r="B290" s="319" t="s">
        <v>37</v>
      </c>
      <c r="C290" s="319"/>
      <c r="D290" s="23" t="s">
        <v>308</v>
      </c>
      <c r="E290" s="23" t="s">
        <v>309</v>
      </c>
    </row>
    <row r="291" spans="1:25" ht="15" customHeight="1" x14ac:dyDescent="0.3">
      <c r="B291" s="351" t="s">
        <v>69</v>
      </c>
      <c r="C291" s="351"/>
      <c r="D291" s="32">
        <f>IF($E$5 &lt; 18, (1.9956 * 10^(-3) * $E$5^6 - 0.11169 * $E$5^5 + 2.189 * $E$5^4 - 17.726 * $E$5^3 + 59.767 * $E$5^2 + 14.405  * $E$5 + 73.716) / 1000, 2.94)</f>
        <v>2.94</v>
      </c>
      <c r="E291" s="27" t="s">
        <v>55</v>
      </c>
      <c r="V291" s="357" t="s">
        <v>270</v>
      </c>
      <c r="W291" s="359" t="s">
        <v>325</v>
      </c>
      <c r="X291" s="360"/>
      <c r="Y291" s="361"/>
    </row>
    <row r="292" spans="1:25" ht="15" customHeight="1" thickBot="1" x14ac:dyDescent="0.35">
      <c r="B292" s="351" t="s">
        <v>102</v>
      </c>
      <c r="C292" s="351"/>
      <c r="D292" s="30">
        <f>2.1 * 10^(-2) * $Q$16</f>
        <v>1.6859777803077105</v>
      </c>
      <c r="E292" s="30">
        <f>2.1 * 10^(-2) * $R$16</f>
        <v>1.3865508404928879</v>
      </c>
      <c r="V292" s="358"/>
      <c r="W292" s="153" t="s">
        <v>327</v>
      </c>
      <c r="X292" s="154" t="s">
        <v>328</v>
      </c>
      <c r="Y292" s="155" t="s">
        <v>329</v>
      </c>
    </row>
    <row r="293" spans="1:25" ht="15" customHeight="1" x14ac:dyDescent="0.3">
      <c r="B293" s="351" t="s">
        <v>94</v>
      </c>
      <c r="C293" s="351"/>
      <c r="D293" s="32">
        <f>IF($E$5 &lt; 18, (1.9956 * 10^(-3) * $E$5^6 - 0.11169 * $E$5^5 + 2.189 * $E$5^4 - 17.726 * $E$5^3 + 59.767 * $E$5^2 + 14.405  * $E$5 + 73.716) / 1000, 2.94)</f>
        <v>2.94</v>
      </c>
      <c r="E293" s="32">
        <f>IF($E$5 &lt; 18,  (7.984*10^(-4) * $E$5^6 - 0.037966 * $E$5^5 + 0.5272 * $E$5^4 - 1.1311 * $E$5^3 - 12.285 * $E$5^2 + 123.87 * $E$5 + 53.358) / 1000, 2.47)</f>
        <v>2.4700000000000002</v>
      </c>
      <c r="V293" s="151" t="s">
        <v>330</v>
      </c>
      <c r="W293" s="143">
        <f>AVERAGE(D291:D294)</f>
        <v>2.892365868100641</v>
      </c>
      <c r="X293" s="144">
        <f>STDEV((D291:D294))</f>
        <v>0.94771611478776063</v>
      </c>
      <c r="Y293" s="145">
        <f>(X293/W293)*100</f>
        <v>32.766121507653764</v>
      </c>
    </row>
    <row r="294" spans="1:25" ht="15" customHeight="1" thickBot="1" x14ac:dyDescent="0.35">
      <c r="B294" s="351" t="s">
        <v>77</v>
      </c>
      <c r="C294" s="351"/>
      <c r="D294" s="34">
        <f>(0.05 + (0.0138 - 0.05) * EXP(-0.112 * $E$5)) * $Q$16</f>
        <v>4.0034856920948538</v>
      </c>
      <c r="E294" s="34">
        <f>(0.045 + (0.0138 - 0.045) * EXP(-0.136 * $E$5)) * $R$16</f>
        <v>2.9688859751961041</v>
      </c>
      <c r="V294" s="152" t="s">
        <v>309</v>
      </c>
      <c r="W294" s="146">
        <f>AVERAGE(E291:E294)</f>
        <v>2.2751456052296639</v>
      </c>
      <c r="X294" s="147">
        <f>STDEV(E291:E294)</f>
        <v>0.80896371735699435</v>
      </c>
      <c r="Y294" s="148">
        <f>(X294/W294)*100</f>
        <v>35.556569016835901</v>
      </c>
    </row>
    <row r="297" spans="1:25" ht="17.399999999999999" customHeight="1" x14ac:dyDescent="0.35">
      <c r="A297" s="321" t="s">
        <v>276</v>
      </c>
      <c r="B297" s="321"/>
      <c r="C297" s="321"/>
      <c r="D297" s="321"/>
      <c r="E297" s="321"/>
    </row>
    <row r="299" spans="1:25" ht="15" customHeight="1" thickBot="1" x14ac:dyDescent="0.35">
      <c r="B299" s="319" t="s">
        <v>37</v>
      </c>
      <c r="C299" s="319"/>
      <c r="D299" s="23" t="s">
        <v>308</v>
      </c>
      <c r="E299" s="23" t="s">
        <v>309</v>
      </c>
    </row>
    <row r="300" spans="1:25" ht="15" customHeight="1" x14ac:dyDescent="0.3">
      <c r="B300" s="351" t="s">
        <v>69</v>
      </c>
      <c r="C300" s="351"/>
      <c r="D300" s="32">
        <f>IF($E$5 &lt; 18,  (0.0013 * $E$5^4 - 0.01 * $E$5^3 - 0.0104 * $E$5^2 + 1.0584 * $E$5+ 1.78) / 1050, 0.06)</f>
        <v>0.06</v>
      </c>
      <c r="E300" s="27" t="s">
        <v>55</v>
      </c>
      <c r="V300" s="357" t="s">
        <v>347</v>
      </c>
      <c r="W300" s="359" t="s">
        <v>325</v>
      </c>
      <c r="X300" s="360"/>
      <c r="Y300" s="361"/>
    </row>
    <row r="301" spans="1:25" ht="15" customHeight="1" thickBot="1" x14ac:dyDescent="0.35">
      <c r="B301" s="354" t="s">
        <v>90</v>
      </c>
      <c r="C301" s="354"/>
      <c r="D301" s="32">
        <f>IF($E$5 &lt; 18, (8.52*10^(-2) * ($E$5 * 365.25 * 24) + 8.31*10^(-2) * ($E$5 * 365.24 * 24)^(9.99*10^-1) + 1.1) / 500000, 0.05)</f>
        <v>0.05</v>
      </c>
      <c r="E301" s="32">
        <f>IF($E$5 &lt; 18, (8.52*10^(-2) * ($E$5 * 365.25 * 24) + 8.31*10^(-2) * ($E$5 * 365.24 * 24)^(9.99*10^-1) + 1.1) / 500000, 0.05)</f>
        <v>0.05</v>
      </c>
      <c r="V301" s="358"/>
      <c r="W301" s="153" t="s">
        <v>327</v>
      </c>
      <c r="X301" s="154" t="s">
        <v>328</v>
      </c>
      <c r="Y301" s="155" t="s">
        <v>329</v>
      </c>
    </row>
    <row r="302" spans="1:25" ht="15" customHeight="1" x14ac:dyDescent="0.3">
      <c r="B302" s="354" t="s">
        <v>94</v>
      </c>
      <c r="C302" s="354"/>
      <c r="D302" s="32">
        <f>IF($E$5 &lt; 18,  (0.0013 * $E$5^4 - 0.01 * $E$5^3 - 0.0104 * $E$5^2 + 1.0584 * $E$5+ 1.78) / 1050, 0.06)</f>
        <v>0.06</v>
      </c>
      <c r="E302" s="32">
        <f>IF($E$5 &lt; 18,  (0.0044 * $E$5^3 + 0.0412 * $E$5^2 + 0.2333 * $E$5 + 2.1725) / 1050, 0.05)</f>
        <v>0.05</v>
      </c>
      <c r="V302" s="151" t="s">
        <v>330</v>
      </c>
      <c r="W302" s="143">
        <f>AVERAGE(D300:D303)</f>
        <v>5.855693124102581E-2</v>
      </c>
      <c r="X302" s="144">
        <f>STDEV((D300:D303))</f>
        <v>6.0427330626572334E-3</v>
      </c>
      <c r="Y302" s="145">
        <f>(X302/W302)*100</f>
        <v>10.319415540723572</v>
      </c>
    </row>
    <row r="303" spans="1:25" ht="15" customHeight="1" thickBot="1" x14ac:dyDescent="0.35">
      <c r="B303" s="354" t="s">
        <v>77</v>
      </c>
      <c r="C303" s="354"/>
      <c r="D303" s="34">
        <f>IF($E$5 &lt; 20.1, (-1.516*10^(-7) *  $E$5^3 + 9.33351*10^(-6) * $E$5^2 - 1.1177*10^(-4) * $E$5 + 4.7966*10^(-4)) * $Q$16, 0.0008 * $Q$16)</f>
        <v>6.4227724964103255E-2</v>
      </c>
      <c r="E303" s="34">
        <f>IF($E$5 &lt; 1, (-1.064*10^(-3) * $E$5 + 1.338*10^(-3)) * $R$16,  IF($E$5 &lt; 20, (2.638*10^(-7) * $E$5^3 - 1.7943*10^(-6) * $E$5^2 - 5.6465*10^(-6) * $E$5 + 2.8105*10^(-4)) * $R$16, 0.001552 * $R$16))</f>
        <v>0.10247270973547437</v>
      </c>
      <c r="V303" s="152" t="s">
        <v>309</v>
      </c>
      <c r="W303" s="146">
        <f>AVERAGE(E300:E303)</f>
        <v>6.7490903245158121E-2</v>
      </c>
      <c r="X303" s="147">
        <f>STDEV(E300:E303)</f>
        <v>3.0295133090885225E-2</v>
      </c>
      <c r="Y303" s="148">
        <f>(X303/W303)*100</f>
        <v>44.887728025863453</v>
      </c>
    </row>
    <row r="304" spans="1:25" x14ac:dyDescent="0.3">
      <c r="B304" s="354" t="s">
        <v>54</v>
      </c>
      <c r="C304" s="354"/>
      <c r="D304" s="27" t="s">
        <v>55</v>
      </c>
      <c r="E304" s="30">
        <f>0.0014 * R16</f>
        <v>9.2436722699525853E-2</v>
      </c>
    </row>
    <row r="307" spans="1:25" ht="17.399999999999999" customHeight="1" x14ac:dyDescent="0.35">
      <c r="A307" s="321" t="s">
        <v>283</v>
      </c>
      <c r="B307" s="321"/>
      <c r="C307" s="321"/>
      <c r="D307" s="321"/>
      <c r="E307" s="321"/>
    </row>
    <row r="308" spans="1:25" ht="16.2" thickBot="1" x14ac:dyDescent="0.35"/>
    <row r="309" spans="1:25" ht="15" customHeight="1" x14ac:dyDescent="0.3">
      <c r="B309" s="319" t="s">
        <v>37</v>
      </c>
      <c r="C309" s="319"/>
      <c r="D309" s="23" t="s">
        <v>308</v>
      </c>
      <c r="E309" s="23" t="s">
        <v>309</v>
      </c>
      <c r="V309" s="357" t="s">
        <v>348</v>
      </c>
      <c r="W309" s="359" t="s">
        <v>325</v>
      </c>
      <c r="X309" s="360"/>
      <c r="Y309" s="361"/>
    </row>
    <row r="310" spans="1:25" ht="15" customHeight="1" thickBot="1" x14ac:dyDescent="0.35">
      <c r="B310" s="351" t="s">
        <v>69</v>
      </c>
      <c r="C310" s="351"/>
      <c r="D310" s="32">
        <f>IF($E$5 &lt; 18,  (0.0008 * $E$5^5 - 0.0356 * $E$5^4 + 0.5823 * $E$5^3 - 4.0437 * $E$5^2 + 17.888 * $E$5 + 7.54)  / 1040, 0.18)</f>
        <v>0.18</v>
      </c>
      <c r="E310" s="27" t="s">
        <v>55</v>
      </c>
      <c r="V310" s="358"/>
      <c r="W310" s="153" t="s">
        <v>327</v>
      </c>
      <c r="X310" s="154" t="s">
        <v>328</v>
      </c>
      <c r="Y310" s="155" t="s">
        <v>329</v>
      </c>
    </row>
    <row r="311" spans="1:25" ht="15" customHeight="1" x14ac:dyDescent="0.3">
      <c r="B311" s="354" t="s">
        <v>94</v>
      </c>
      <c r="C311" s="354"/>
      <c r="D311" s="32">
        <f>IF($E$5 &lt; 18,  (0.0008 * $E$5^5 - 0.0356 * $E$5^4 + 0.5823 * $E$5^3 - 4.0437 * $E$5^2 + 17.888 * $E$5 + 7.54)  / 1040, 0.18)</f>
        <v>0.18</v>
      </c>
      <c r="E311" s="32">
        <f>IF($E$5 &lt; 18,  (0.0008 * $E$5^5 - 0.0356 * $E$5^4 + 0.5823 * $E$5^3 - 4.0437 * $E$5^2 + 17.888 * $E$5 + 7.54)  / 1040, 0.18)</f>
        <v>0.18</v>
      </c>
      <c r="V311" s="151" t="s">
        <v>330</v>
      </c>
      <c r="W311" s="143">
        <f>AVERAGE(D310:D312)</f>
        <v>0.17619925934359035</v>
      </c>
      <c r="X311" s="144">
        <f>STDEV((D310:D312))</f>
        <v>6.5830759232942074E-3</v>
      </c>
      <c r="Y311" s="145">
        <f>(X311/W311)*100</f>
        <v>3.7361541403855405</v>
      </c>
    </row>
    <row r="312" spans="1:25" ht="15" customHeight="1" thickBot="1" x14ac:dyDescent="0.35">
      <c r="B312" s="354" t="s">
        <v>77</v>
      </c>
      <c r="C312" s="354"/>
      <c r="D312" s="30">
        <f>0.0021 * $Q$16</f>
        <v>0.16859777803077103</v>
      </c>
      <c r="E312" s="30">
        <f>0.0023 * $Q$16</f>
        <v>0.18465470927179686</v>
      </c>
      <c r="V312" s="152" t="s">
        <v>309</v>
      </c>
      <c r="W312" s="146">
        <f>AVERAGE(E310:E312)</f>
        <v>0.18232735463589844</v>
      </c>
      <c r="X312" s="147">
        <f>STDEV(E310:E312)</f>
        <v>3.2913764905394632E-3</v>
      </c>
      <c r="Y312" s="148">
        <f>(X312/W312)*100</f>
        <v>1.8052016918208629</v>
      </c>
    </row>
    <row r="315" spans="1:25" ht="17.399999999999999" customHeight="1" x14ac:dyDescent="0.35">
      <c r="A315" s="321" t="s">
        <v>287</v>
      </c>
      <c r="B315" s="321"/>
      <c r="C315" s="321"/>
      <c r="D315" s="321"/>
      <c r="E315" s="321"/>
    </row>
    <row r="317" spans="1:25" ht="15" customHeight="1" x14ac:dyDescent="0.3">
      <c r="B317" s="319" t="s">
        <v>37</v>
      </c>
      <c r="C317" s="319"/>
      <c r="D317" s="23" t="s">
        <v>308</v>
      </c>
      <c r="E317" s="23" t="s">
        <v>309</v>
      </c>
    </row>
    <row r="318" spans="1:25" ht="15" customHeight="1" x14ac:dyDescent="0.3">
      <c r="B318" s="354" t="s">
        <v>77</v>
      </c>
      <c r="C318" s="354"/>
      <c r="D318" s="30">
        <f>0.000274 * $Q$16</f>
        <v>2.1997995800205363E-2</v>
      </c>
      <c r="E318" s="30">
        <f>0.0002833 * $R$16</f>
        <v>1.8705231100554054E-2</v>
      </c>
    </row>
    <row r="321" spans="1:11" ht="17.399999999999999" customHeight="1" x14ac:dyDescent="0.35">
      <c r="A321" s="321" t="s">
        <v>290</v>
      </c>
      <c r="B321" s="321"/>
      <c r="C321" s="321"/>
      <c r="D321" s="321"/>
      <c r="E321" s="321"/>
    </row>
    <row r="323" spans="1:11" ht="15" customHeight="1" x14ac:dyDescent="0.3">
      <c r="B323" s="319" t="s">
        <v>37</v>
      </c>
      <c r="C323" s="319"/>
      <c r="D323" s="23" t="s">
        <v>308</v>
      </c>
      <c r="E323" s="23" t="s">
        <v>309</v>
      </c>
    </row>
    <row r="324" spans="1:11" ht="15" customHeight="1" x14ac:dyDescent="0.3">
      <c r="B324" s="351" t="s">
        <v>102</v>
      </c>
      <c r="C324" s="351"/>
      <c r="D324" s="30">
        <f>3*10^(-4) * $Q$16</f>
        <v>2.4085396861538721E-2</v>
      </c>
      <c r="E324" s="30">
        <f>3*10^(-4) * $R$16</f>
        <v>1.9807869149898398E-2</v>
      </c>
    </row>
    <row r="327" spans="1:11" ht="17.399999999999999" customHeight="1" x14ac:dyDescent="0.35">
      <c r="A327" s="321" t="s">
        <v>293</v>
      </c>
      <c r="B327" s="321"/>
      <c r="C327" s="321"/>
      <c r="D327" s="321"/>
      <c r="E327" s="321"/>
    </row>
    <row r="329" spans="1:11" ht="15" customHeight="1" x14ac:dyDescent="0.3">
      <c r="B329" s="319" t="s">
        <v>37</v>
      </c>
      <c r="C329" s="319"/>
      <c r="D329" s="23" t="s">
        <v>308</v>
      </c>
      <c r="E329" s="23" t="s">
        <v>309</v>
      </c>
      <c r="J329" s="28"/>
      <c r="K329" s="28"/>
    </row>
    <row r="330" spans="1:11" ht="15" customHeight="1" x14ac:dyDescent="0.3">
      <c r="B330" s="351" t="s">
        <v>51</v>
      </c>
      <c r="C330" s="351"/>
      <c r="D330" s="30">
        <f>1.19*10^(-3) * $Q$16 - 4.302*10^(-4)</f>
        <v>9.5108540884103573E-2</v>
      </c>
      <c r="E330" s="30">
        <f>1.19*10^(-3) * $R$16 - 4.302*10^(-4)</f>
        <v>7.8141014294596967E-2</v>
      </c>
      <c r="J330" s="1"/>
      <c r="K330" s="28"/>
    </row>
    <row r="331" spans="1:11" ht="15" customHeight="1" x14ac:dyDescent="0.3">
      <c r="B331" s="351" t="s">
        <v>54</v>
      </c>
      <c r="C331" s="351"/>
      <c r="D331" s="27" t="s">
        <v>55</v>
      </c>
      <c r="E331" s="30">
        <f>1.19*10^(-3) * $R$16 - 4.302*10^(-4)</f>
        <v>7.8141014294596967E-2</v>
      </c>
    </row>
  </sheetData>
  <sheetProtection algorithmName="SHA-512" hashValue="SLKGFY6IUbuOrLcPM0NPIp+5upQVVeYEO/YLWjPY99mAj7OIT/DxrxWnOtoAop45CEXx0YC5T3dhNAnwq8/ytw==" saltValue="iwMUoCLjVzClbfKIc8OCCw==" spinCount="100000" sheet="1" objects="1" scenarios="1"/>
  <mergeCells count="1009">
    <mergeCell ref="AE212:AE213"/>
    <mergeCell ref="AF212:AH212"/>
    <mergeCell ref="B213:C215"/>
    <mergeCell ref="V271:V272"/>
    <mergeCell ref="W271:Y271"/>
    <mergeCell ref="B272:C274"/>
    <mergeCell ref="V282:V283"/>
    <mergeCell ref="W282:Y282"/>
    <mergeCell ref="V291:V292"/>
    <mergeCell ref="W291:Y291"/>
    <mergeCell ref="V300:V301"/>
    <mergeCell ref="W300:Y300"/>
    <mergeCell ref="V309:V310"/>
    <mergeCell ref="W309:Y309"/>
    <mergeCell ref="V222:V223"/>
    <mergeCell ref="W222:Y222"/>
    <mergeCell ref="V234:V235"/>
    <mergeCell ref="W234:Y234"/>
    <mergeCell ref="B301:C301"/>
    <mergeCell ref="A277:E277"/>
    <mergeCell ref="B279:C279"/>
    <mergeCell ref="B280:C280"/>
    <mergeCell ref="B281:C281"/>
    <mergeCell ref="B282:C282"/>
    <mergeCell ref="B283:C283"/>
    <mergeCell ref="B284:C284"/>
    <mergeCell ref="B285:C285"/>
    <mergeCell ref="A288:E288"/>
    <mergeCell ref="B269:C270"/>
    <mergeCell ref="E269:F269"/>
    <mergeCell ref="G269:H269"/>
    <mergeCell ref="B290:C290"/>
    <mergeCell ref="V52:V53"/>
    <mergeCell ref="AE167:AE168"/>
    <mergeCell ref="AF167:AH167"/>
    <mergeCell ref="V180:V181"/>
    <mergeCell ref="W180:Y180"/>
    <mergeCell ref="V188:V189"/>
    <mergeCell ref="W188:Y188"/>
    <mergeCell ref="B168:C170"/>
    <mergeCell ref="W52:Y52"/>
    <mergeCell ref="W84:Y84"/>
    <mergeCell ref="W131:Y131"/>
    <mergeCell ref="W98:Y98"/>
    <mergeCell ref="V84:V85"/>
    <mergeCell ref="V98:V99"/>
    <mergeCell ref="V131:V132"/>
    <mergeCell ref="V107:V108"/>
    <mergeCell ref="W107:Y107"/>
    <mergeCell ref="V145:V146"/>
    <mergeCell ref="W145:Y145"/>
    <mergeCell ref="A173:E173"/>
    <mergeCell ref="B175:C175"/>
    <mergeCell ref="B176:C176"/>
    <mergeCell ref="B177:C177"/>
    <mergeCell ref="B178:C178"/>
    <mergeCell ref="B179:C179"/>
    <mergeCell ref="B180:C180"/>
    <mergeCell ref="B181:C181"/>
    <mergeCell ref="B182:C182"/>
    <mergeCell ref="U165:W165"/>
    <mergeCell ref="X165:Y165"/>
    <mergeCell ref="Z165:AA165"/>
    <mergeCell ref="B132:C134"/>
    <mergeCell ref="B318:C318"/>
    <mergeCell ref="A321:E321"/>
    <mergeCell ref="B323:C323"/>
    <mergeCell ref="B324:C324"/>
    <mergeCell ref="A327:E327"/>
    <mergeCell ref="B329:C329"/>
    <mergeCell ref="B330:C330"/>
    <mergeCell ref="B331:C331"/>
    <mergeCell ref="B302:C302"/>
    <mergeCell ref="B303:C303"/>
    <mergeCell ref="A307:E307"/>
    <mergeCell ref="B309:C309"/>
    <mergeCell ref="B310:C310"/>
    <mergeCell ref="B311:C311"/>
    <mergeCell ref="B312:C312"/>
    <mergeCell ref="A315:E315"/>
    <mergeCell ref="B317:C317"/>
    <mergeCell ref="B291:C291"/>
    <mergeCell ref="B292:C292"/>
    <mergeCell ref="B293:C293"/>
    <mergeCell ref="B294:C294"/>
    <mergeCell ref="A297:E297"/>
    <mergeCell ref="B299:C299"/>
    <mergeCell ref="B300:C300"/>
    <mergeCell ref="B265:C266"/>
    <mergeCell ref="E265:F265"/>
    <mergeCell ref="B261:C262"/>
    <mergeCell ref="E261:F261"/>
    <mergeCell ref="B244:C244"/>
    <mergeCell ref="B304:C304"/>
    <mergeCell ref="K269:L269"/>
    <mergeCell ref="M269:N269"/>
    <mergeCell ref="O269:P269"/>
    <mergeCell ref="Q270:R270"/>
    <mergeCell ref="E270:F270"/>
    <mergeCell ref="G270:H270"/>
    <mergeCell ref="I270:J270"/>
    <mergeCell ref="K270:L270"/>
    <mergeCell ref="M270:N270"/>
    <mergeCell ref="O270:P270"/>
    <mergeCell ref="B267:C268"/>
    <mergeCell ref="E267:F267"/>
    <mergeCell ref="G267:H267"/>
    <mergeCell ref="I267:J267"/>
    <mergeCell ref="K267:L267"/>
    <mergeCell ref="M267:N267"/>
    <mergeCell ref="O267:P267"/>
    <mergeCell ref="Q268:R268"/>
    <mergeCell ref="E268:F268"/>
    <mergeCell ref="G268:H268"/>
    <mergeCell ref="I268:J268"/>
    <mergeCell ref="K268:L268"/>
    <mergeCell ref="M268:N268"/>
    <mergeCell ref="O268:P268"/>
    <mergeCell ref="Q267:R267"/>
    <mergeCell ref="Q269:R269"/>
    <mergeCell ref="I269:J269"/>
    <mergeCell ref="Q266:R266"/>
    <mergeCell ref="E266:F266"/>
    <mergeCell ref="G266:H266"/>
    <mergeCell ref="I266:J266"/>
    <mergeCell ref="K266:L266"/>
    <mergeCell ref="M266:N266"/>
    <mergeCell ref="O266:P266"/>
    <mergeCell ref="B263:C264"/>
    <mergeCell ref="E263:F263"/>
    <mergeCell ref="G263:H263"/>
    <mergeCell ref="I263:J263"/>
    <mergeCell ref="K263:L263"/>
    <mergeCell ref="M263:N263"/>
    <mergeCell ref="O263:P263"/>
    <mergeCell ref="Q264:R264"/>
    <mergeCell ref="E264:F264"/>
    <mergeCell ref="G264:H264"/>
    <mergeCell ref="I264:J264"/>
    <mergeCell ref="K264:L264"/>
    <mergeCell ref="M264:N264"/>
    <mergeCell ref="O264:P264"/>
    <mergeCell ref="Q263:R263"/>
    <mergeCell ref="Q265:R265"/>
    <mergeCell ref="G265:H265"/>
    <mergeCell ref="I265:J265"/>
    <mergeCell ref="K265:L265"/>
    <mergeCell ref="M265:N265"/>
    <mergeCell ref="O265:P265"/>
    <mergeCell ref="G261:H261"/>
    <mergeCell ref="I261:J261"/>
    <mergeCell ref="K261:L261"/>
    <mergeCell ref="M261:N261"/>
    <mergeCell ref="O261:P261"/>
    <mergeCell ref="Q262:R262"/>
    <mergeCell ref="E262:F262"/>
    <mergeCell ref="G262:H262"/>
    <mergeCell ref="I262:J262"/>
    <mergeCell ref="K262:L262"/>
    <mergeCell ref="M262:N262"/>
    <mergeCell ref="O262:P262"/>
    <mergeCell ref="B259:C260"/>
    <mergeCell ref="E259:F259"/>
    <mergeCell ref="G259:H259"/>
    <mergeCell ref="I259:J259"/>
    <mergeCell ref="K259:L259"/>
    <mergeCell ref="M259:N259"/>
    <mergeCell ref="O259:P259"/>
    <mergeCell ref="Q260:R260"/>
    <mergeCell ref="E260:F260"/>
    <mergeCell ref="G260:H260"/>
    <mergeCell ref="I260:J260"/>
    <mergeCell ref="K260:L260"/>
    <mergeCell ref="M260:N260"/>
    <mergeCell ref="O260:P260"/>
    <mergeCell ref="Q259:R259"/>
    <mergeCell ref="Q261:R261"/>
    <mergeCell ref="K255:L256"/>
    <mergeCell ref="M255:N256"/>
    <mergeCell ref="O255:P256"/>
    <mergeCell ref="Q255:R256"/>
    <mergeCell ref="B256:D256"/>
    <mergeCell ref="B257:C258"/>
    <mergeCell ref="E257:F257"/>
    <mergeCell ref="G257:H257"/>
    <mergeCell ref="I257:J257"/>
    <mergeCell ref="K257:L257"/>
    <mergeCell ref="M257:N257"/>
    <mergeCell ref="O257:P257"/>
    <mergeCell ref="Q258:R258"/>
    <mergeCell ref="E258:F258"/>
    <mergeCell ref="G258:H258"/>
    <mergeCell ref="I258:J258"/>
    <mergeCell ref="K258:L258"/>
    <mergeCell ref="M258:N258"/>
    <mergeCell ref="O258:P258"/>
    <mergeCell ref="Q257:R257"/>
    <mergeCell ref="B249:C249"/>
    <mergeCell ref="B250:C250"/>
    <mergeCell ref="A253:E253"/>
    <mergeCell ref="B255:D255"/>
    <mergeCell ref="E255:F256"/>
    <mergeCell ref="G255:H256"/>
    <mergeCell ref="I255:J256"/>
    <mergeCell ref="B231:C231"/>
    <mergeCell ref="B232:C232"/>
    <mergeCell ref="B233:C233"/>
    <mergeCell ref="B234:C234"/>
    <mergeCell ref="B235:C235"/>
    <mergeCell ref="B236:C236"/>
    <mergeCell ref="B237:C237"/>
    <mergeCell ref="A241:E241"/>
    <mergeCell ref="B243:C243"/>
    <mergeCell ref="A218:E218"/>
    <mergeCell ref="B220:C220"/>
    <mergeCell ref="B221:C221"/>
    <mergeCell ref="B222:C222"/>
    <mergeCell ref="B223:C223"/>
    <mergeCell ref="B224:C224"/>
    <mergeCell ref="B225:C225"/>
    <mergeCell ref="A228:E228"/>
    <mergeCell ref="B230:C230"/>
    <mergeCell ref="B251:C251"/>
    <mergeCell ref="B238:C238"/>
    <mergeCell ref="A247:E247"/>
    <mergeCell ref="U210:W210"/>
    <mergeCell ref="E211:F211"/>
    <mergeCell ref="G211:H211"/>
    <mergeCell ref="I211:J211"/>
    <mergeCell ref="K211:L211"/>
    <mergeCell ref="M211:N211"/>
    <mergeCell ref="O211:P211"/>
    <mergeCell ref="Q211:R211"/>
    <mergeCell ref="S211:T211"/>
    <mergeCell ref="U211:W211"/>
    <mergeCell ref="B210:C211"/>
    <mergeCell ref="E210:F210"/>
    <mergeCell ref="G210:H210"/>
    <mergeCell ref="I210:J210"/>
    <mergeCell ref="K210:L210"/>
    <mergeCell ref="M210:N210"/>
    <mergeCell ref="O210:P210"/>
    <mergeCell ref="Q210:R210"/>
    <mergeCell ref="S210:T210"/>
    <mergeCell ref="U208:W208"/>
    <mergeCell ref="E209:F209"/>
    <mergeCell ref="G209:H209"/>
    <mergeCell ref="I209:J209"/>
    <mergeCell ref="K209:L209"/>
    <mergeCell ref="M209:N209"/>
    <mergeCell ref="O209:P209"/>
    <mergeCell ref="Q209:R209"/>
    <mergeCell ref="S209:T209"/>
    <mergeCell ref="U209:W209"/>
    <mergeCell ref="B208:C209"/>
    <mergeCell ref="E208:F208"/>
    <mergeCell ref="G208:H208"/>
    <mergeCell ref="I208:J208"/>
    <mergeCell ref="K208:L208"/>
    <mergeCell ref="M208:N208"/>
    <mergeCell ref="O208:P208"/>
    <mergeCell ref="Q208:R208"/>
    <mergeCell ref="S208:T208"/>
    <mergeCell ref="U206:W206"/>
    <mergeCell ref="E207:F207"/>
    <mergeCell ref="G207:H207"/>
    <mergeCell ref="I207:J207"/>
    <mergeCell ref="K207:L207"/>
    <mergeCell ref="M207:N207"/>
    <mergeCell ref="O207:P207"/>
    <mergeCell ref="Q207:R207"/>
    <mergeCell ref="S207:T207"/>
    <mergeCell ref="U207:W207"/>
    <mergeCell ref="B206:C207"/>
    <mergeCell ref="E206:F206"/>
    <mergeCell ref="G206:H206"/>
    <mergeCell ref="I206:J206"/>
    <mergeCell ref="K206:L206"/>
    <mergeCell ref="M206:N206"/>
    <mergeCell ref="O206:P206"/>
    <mergeCell ref="Q206:R206"/>
    <mergeCell ref="S206:T206"/>
    <mergeCell ref="U204:W204"/>
    <mergeCell ref="E205:F205"/>
    <mergeCell ref="G205:H205"/>
    <mergeCell ref="I205:J205"/>
    <mergeCell ref="K205:L205"/>
    <mergeCell ref="M205:N205"/>
    <mergeCell ref="O205:P205"/>
    <mergeCell ref="Q205:R205"/>
    <mergeCell ref="S205:T205"/>
    <mergeCell ref="U205:W205"/>
    <mergeCell ref="B204:C205"/>
    <mergeCell ref="E204:F204"/>
    <mergeCell ref="G204:H204"/>
    <mergeCell ref="I204:J204"/>
    <mergeCell ref="K204:L204"/>
    <mergeCell ref="M204:N204"/>
    <mergeCell ref="O204:P204"/>
    <mergeCell ref="Q204:R204"/>
    <mergeCell ref="S204:T204"/>
    <mergeCell ref="U202:W202"/>
    <mergeCell ref="E203:F203"/>
    <mergeCell ref="G203:H203"/>
    <mergeCell ref="I203:J203"/>
    <mergeCell ref="K203:L203"/>
    <mergeCell ref="M203:N203"/>
    <mergeCell ref="O203:P203"/>
    <mergeCell ref="Q203:R203"/>
    <mergeCell ref="S203:T203"/>
    <mergeCell ref="U203:W203"/>
    <mergeCell ref="B202:C203"/>
    <mergeCell ref="E202:F202"/>
    <mergeCell ref="G202:H202"/>
    <mergeCell ref="I202:J202"/>
    <mergeCell ref="K202:L202"/>
    <mergeCell ref="M202:N202"/>
    <mergeCell ref="O202:P202"/>
    <mergeCell ref="Q202:R202"/>
    <mergeCell ref="S202:T202"/>
    <mergeCell ref="U200:W200"/>
    <mergeCell ref="E201:F201"/>
    <mergeCell ref="G201:H201"/>
    <mergeCell ref="I201:J201"/>
    <mergeCell ref="K201:L201"/>
    <mergeCell ref="M201:N201"/>
    <mergeCell ref="O201:P201"/>
    <mergeCell ref="Q201:R201"/>
    <mergeCell ref="S201:T201"/>
    <mergeCell ref="U201:W201"/>
    <mergeCell ref="B200:C201"/>
    <mergeCell ref="E200:F200"/>
    <mergeCell ref="G200:H200"/>
    <mergeCell ref="I200:J200"/>
    <mergeCell ref="K200:L200"/>
    <mergeCell ref="M200:N200"/>
    <mergeCell ref="O200:P200"/>
    <mergeCell ref="Q200:R200"/>
    <mergeCell ref="S200:T200"/>
    <mergeCell ref="U198:W198"/>
    <mergeCell ref="E199:F199"/>
    <mergeCell ref="G199:H199"/>
    <mergeCell ref="I199:J199"/>
    <mergeCell ref="K199:L199"/>
    <mergeCell ref="M199:N199"/>
    <mergeCell ref="O199:P199"/>
    <mergeCell ref="Q199:R199"/>
    <mergeCell ref="S199:T199"/>
    <mergeCell ref="U199:W199"/>
    <mergeCell ref="B198:C199"/>
    <mergeCell ref="E198:F198"/>
    <mergeCell ref="G198:H198"/>
    <mergeCell ref="I198:J198"/>
    <mergeCell ref="K198:L198"/>
    <mergeCell ref="M198:N198"/>
    <mergeCell ref="O198:P198"/>
    <mergeCell ref="Q198:R198"/>
    <mergeCell ref="S198:T198"/>
    <mergeCell ref="G196:H197"/>
    <mergeCell ref="I196:J197"/>
    <mergeCell ref="K196:L197"/>
    <mergeCell ref="M196:N197"/>
    <mergeCell ref="O196:P197"/>
    <mergeCell ref="Q196:R197"/>
    <mergeCell ref="S196:T197"/>
    <mergeCell ref="U196:W197"/>
    <mergeCell ref="B197:D197"/>
    <mergeCell ref="B183:C183"/>
    <mergeCell ref="A186:E186"/>
    <mergeCell ref="B188:C188"/>
    <mergeCell ref="B189:C189"/>
    <mergeCell ref="B190:C190"/>
    <mergeCell ref="B191:C191"/>
    <mergeCell ref="A194:E194"/>
    <mergeCell ref="B196:D196"/>
    <mergeCell ref="E196:F197"/>
    <mergeCell ref="E166:F166"/>
    <mergeCell ref="G166:H166"/>
    <mergeCell ref="I166:J166"/>
    <mergeCell ref="K166:L166"/>
    <mergeCell ref="M166:N166"/>
    <mergeCell ref="O166:P166"/>
    <mergeCell ref="Q166:R166"/>
    <mergeCell ref="S166:T166"/>
    <mergeCell ref="U166:W166"/>
    <mergeCell ref="X166:Y166"/>
    <mergeCell ref="Z166:AA166"/>
    <mergeCell ref="AB166:AC166"/>
    <mergeCell ref="B165:C166"/>
    <mergeCell ref="E165:F165"/>
    <mergeCell ref="G165:H165"/>
    <mergeCell ref="I165:J165"/>
    <mergeCell ref="K165:L165"/>
    <mergeCell ref="M165:N165"/>
    <mergeCell ref="O165:P165"/>
    <mergeCell ref="Q165:R165"/>
    <mergeCell ref="S165:T165"/>
    <mergeCell ref="AB165:AC165"/>
    <mergeCell ref="U163:W163"/>
    <mergeCell ref="X163:Y163"/>
    <mergeCell ref="Z163:AA163"/>
    <mergeCell ref="AB163:AC163"/>
    <mergeCell ref="E164:F164"/>
    <mergeCell ref="G164:H164"/>
    <mergeCell ref="I164:J164"/>
    <mergeCell ref="K164:L164"/>
    <mergeCell ref="M164:N164"/>
    <mergeCell ref="O164:P164"/>
    <mergeCell ref="Q164:R164"/>
    <mergeCell ref="S164:T164"/>
    <mergeCell ref="U164:W164"/>
    <mergeCell ref="X164:Y164"/>
    <mergeCell ref="Z164:AA164"/>
    <mergeCell ref="AB164:AC164"/>
    <mergeCell ref="B163:C164"/>
    <mergeCell ref="E163:F163"/>
    <mergeCell ref="G163:H163"/>
    <mergeCell ref="I163:J163"/>
    <mergeCell ref="K163:L163"/>
    <mergeCell ref="M163:N163"/>
    <mergeCell ref="O163:P163"/>
    <mergeCell ref="Q163:R163"/>
    <mergeCell ref="S163:T163"/>
    <mergeCell ref="U161:W161"/>
    <mergeCell ref="X161:Y161"/>
    <mergeCell ref="Z161:AA161"/>
    <mergeCell ref="AB161:AC161"/>
    <mergeCell ref="E162:F162"/>
    <mergeCell ref="G162:H162"/>
    <mergeCell ref="I162:J162"/>
    <mergeCell ref="K162:L162"/>
    <mergeCell ref="M162:N162"/>
    <mergeCell ref="O162:P162"/>
    <mergeCell ref="Q162:R162"/>
    <mergeCell ref="S162:T162"/>
    <mergeCell ref="U162:W162"/>
    <mergeCell ref="X162:Y162"/>
    <mergeCell ref="Z162:AA162"/>
    <mergeCell ref="AB162:AC162"/>
    <mergeCell ref="B161:C162"/>
    <mergeCell ref="E161:F161"/>
    <mergeCell ref="G161:H161"/>
    <mergeCell ref="I161:J161"/>
    <mergeCell ref="K161:L161"/>
    <mergeCell ref="M161:N161"/>
    <mergeCell ref="O161:P161"/>
    <mergeCell ref="Q161:R161"/>
    <mergeCell ref="S161:T161"/>
    <mergeCell ref="U159:W159"/>
    <mergeCell ref="X159:Y159"/>
    <mergeCell ref="Z159:AA159"/>
    <mergeCell ref="AB159:AC159"/>
    <mergeCell ref="E160:F160"/>
    <mergeCell ref="G160:H160"/>
    <mergeCell ref="I160:J160"/>
    <mergeCell ref="K160:L160"/>
    <mergeCell ref="M160:N160"/>
    <mergeCell ref="O160:P160"/>
    <mergeCell ref="Q160:R160"/>
    <mergeCell ref="S160:T160"/>
    <mergeCell ref="U160:W160"/>
    <mergeCell ref="X160:Y160"/>
    <mergeCell ref="Z160:AA160"/>
    <mergeCell ref="AB160:AC160"/>
    <mergeCell ref="B159:C160"/>
    <mergeCell ref="E159:F159"/>
    <mergeCell ref="G159:H159"/>
    <mergeCell ref="I159:J159"/>
    <mergeCell ref="K159:L159"/>
    <mergeCell ref="M159:N159"/>
    <mergeCell ref="O159:P159"/>
    <mergeCell ref="Q159:R159"/>
    <mergeCell ref="S159:T159"/>
    <mergeCell ref="K158:L158"/>
    <mergeCell ref="M158:N158"/>
    <mergeCell ref="O158:P158"/>
    <mergeCell ref="Q158:R158"/>
    <mergeCell ref="S158:T158"/>
    <mergeCell ref="U158:W158"/>
    <mergeCell ref="X158:Y158"/>
    <mergeCell ref="Z158:AA158"/>
    <mergeCell ref="AB158:AC158"/>
    <mergeCell ref="M156:N156"/>
    <mergeCell ref="O156:P156"/>
    <mergeCell ref="Q156:R156"/>
    <mergeCell ref="S156:T156"/>
    <mergeCell ref="U156:W156"/>
    <mergeCell ref="X156:Y156"/>
    <mergeCell ref="Z156:AA156"/>
    <mergeCell ref="AB156:AC156"/>
    <mergeCell ref="B157:C158"/>
    <mergeCell ref="E157:F157"/>
    <mergeCell ref="G157:H157"/>
    <mergeCell ref="I157:J157"/>
    <mergeCell ref="K157:L157"/>
    <mergeCell ref="M157:N157"/>
    <mergeCell ref="O157:P157"/>
    <mergeCell ref="Q157:R157"/>
    <mergeCell ref="S157:T157"/>
    <mergeCell ref="U157:W157"/>
    <mergeCell ref="X157:Y157"/>
    <mergeCell ref="Z157:AA157"/>
    <mergeCell ref="AB157:AC157"/>
    <mergeCell ref="E158:F158"/>
    <mergeCell ref="G158:H158"/>
    <mergeCell ref="I158:J158"/>
    <mergeCell ref="O154:P154"/>
    <mergeCell ref="Q154:R154"/>
    <mergeCell ref="S154:T154"/>
    <mergeCell ref="U154:W154"/>
    <mergeCell ref="X154:Y154"/>
    <mergeCell ref="Z154:AA154"/>
    <mergeCell ref="AB154:AC154"/>
    <mergeCell ref="B155:C156"/>
    <mergeCell ref="E155:F155"/>
    <mergeCell ref="G155:H155"/>
    <mergeCell ref="I155:J155"/>
    <mergeCell ref="K155:L155"/>
    <mergeCell ref="M155:N155"/>
    <mergeCell ref="O155:P155"/>
    <mergeCell ref="Q155:R155"/>
    <mergeCell ref="S155:T155"/>
    <mergeCell ref="U155:W155"/>
    <mergeCell ref="X155:Y155"/>
    <mergeCell ref="Z155:AA155"/>
    <mergeCell ref="AB155:AC155"/>
    <mergeCell ref="E156:F156"/>
    <mergeCell ref="G156:H156"/>
    <mergeCell ref="I156:J156"/>
    <mergeCell ref="K156:L156"/>
    <mergeCell ref="S151:T152"/>
    <mergeCell ref="U151:W152"/>
    <mergeCell ref="X151:Y152"/>
    <mergeCell ref="Z151:AA152"/>
    <mergeCell ref="AB151:AC152"/>
    <mergeCell ref="B152:D152"/>
    <mergeCell ref="B153:C154"/>
    <mergeCell ref="E153:F153"/>
    <mergeCell ref="G153:H153"/>
    <mergeCell ref="I153:J153"/>
    <mergeCell ref="K153:L153"/>
    <mergeCell ref="M153:N153"/>
    <mergeCell ref="O153:P153"/>
    <mergeCell ref="Q153:R153"/>
    <mergeCell ref="S153:T153"/>
    <mergeCell ref="U153:W153"/>
    <mergeCell ref="X153:Y153"/>
    <mergeCell ref="Z153:AA153"/>
    <mergeCell ref="AB153:AC153"/>
    <mergeCell ref="E154:F154"/>
    <mergeCell ref="G154:H154"/>
    <mergeCell ref="I154:J154"/>
    <mergeCell ref="K154:L154"/>
    <mergeCell ref="M154:N154"/>
    <mergeCell ref="A149:E149"/>
    <mergeCell ref="B151:D151"/>
    <mergeCell ref="E151:F152"/>
    <mergeCell ref="G151:H152"/>
    <mergeCell ref="I151:J152"/>
    <mergeCell ref="K151:L152"/>
    <mergeCell ref="M151:N152"/>
    <mergeCell ref="O151:P152"/>
    <mergeCell ref="Q151:R152"/>
    <mergeCell ref="A137:E137"/>
    <mergeCell ref="B139:C139"/>
    <mergeCell ref="B140:C140"/>
    <mergeCell ref="B141:C141"/>
    <mergeCell ref="B142:C142"/>
    <mergeCell ref="B143:C143"/>
    <mergeCell ref="B144:C144"/>
    <mergeCell ref="B145:C145"/>
    <mergeCell ref="B146:C146"/>
    <mergeCell ref="B147:C147"/>
    <mergeCell ref="B148:C148"/>
    <mergeCell ref="B129:C130"/>
    <mergeCell ref="E129:F129"/>
    <mergeCell ref="G129:H129"/>
    <mergeCell ref="I129:J129"/>
    <mergeCell ref="K129:L129"/>
    <mergeCell ref="M129:N129"/>
    <mergeCell ref="O129:P129"/>
    <mergeCell ref="Q129:R129"/>
    <mergeCell ref="S129:T129"/>
    <mergeCell ref="E130:F130"/>
    <mergeCell ref="G130:H130"/>
    <mergeCell ref="I130:J130"/>
    <mergeCell ref="K130:L130"/>
    <mergeCell ref="M130:N130"/>
    <mergeCell ref="O130:P130"/>
    <mergeCell ref="Q130:R130"/>
    <mergeCell ref="S130:T130"/>
    <mergeCell ref="B127:C128"/>
    <mergeCell ref="E127:F127"/>
    <mergeCell ref="G127:H127"/>
    <mergeCell ref="I127:J127"/>
    <mergeCell ref="K127:L127"/>
    <mergeCell ref="M127:N127"/>
    <mergeCell ref="O127:P127"/>
    <mergeCell ref="Q127:R127"/>
    <mergeCell ref="S127:T127"/>
    <mergeCell ref="E128:F128"/>
    <mergeCell ref="G128:H128"/>
    <mergeCell ref="I128:J128"/>
    <mergeCell ref="K128:L128"/>
    <mergeCell ref="M128:N128"/>
    <mergeCell ref="O128:P128"/>
    <mergeCell ref="Q128:R128"/>
    <mergeCell ref="S128:T128"/>
    <mergeCell ref="B125:C126"/>
    <mergeCell ref="E125:F125"/>
    <mergeCell ref="G125:H125"/>
    <mergeCell ref="I125:J125"/>
    <mergeCell ref="K125:L125"/>
    <mergeCell ref="M125:N125"/>
    <mergeCell ref="O125:P125"/>
    <mergeCell ref="Q125:R125"/>
    <mergeCell ref="S125:T125"/>
    <mergeCell ref="E126:F126"/>
    <mergeCell ref="G126:H126"/>
    <mergeCell ref="I126:J126"/>
    <mergeCell ref="K126:L126"/>
    <mergeCell ref="M126:N126"/>
    <mergeCell ref="O126:P126"/>
    <mergeCell ref="Q126:R126"/>
    <mergeCell ref="S126:T126"/>
    <mergeCell ref="B123:C124"/>
    <mergeCell ref="E123:F123"/>
    <mergeCell ref="G123:H123"/>
    <mergeCell ref="I123:J123"/>
    <mergeCell ref="K123:L123"/>
    <mergeCell ref="M123:N123"/>
    <mergeCell ref="O123:P123"/>
    <mergeCell ref="Q123:R123"/>
    <mergeCell ref="S123:T123"/>
    <mergeCell ref="E124:F124"/>
    <mergeCell ref="G124:H124"/>
    <mergeCell ref="I124:J124"/>
    <mergeCell ref="K124:L124"/>
    <mergeCell ref="M124:N124"/>
    <mergeCell ref="O124:P124"/>
    <mergeCell ref="Q124:R124"/>
    <mergeCell ref="S124:T124"/>
    <mergeCell ref="B121:C122"/>
    <mergeCell ref="E121:F121"/>
    <mergeCell ref="G121:H121"/>
    <mergeCell ref="I121:J121"/>
    <mergeCell ref="K121:L121"/>
    <mergeCell ref="M121:N121"/>
    <mergeCell ref="O121:P121"/>
    <mergeCell ref="Q121:R121"/>
    <mergeCell ref="S121:T121"/>
    <mergeCell ref="E122:F122"/>
    <mergeCell ref="G122:H122"/>
    <mergeCell ref="I122:J122"/>
    <mergeCell ref="K122:L122"/>
    <mergeCell ref="M122:N122"/>
    <mergeCell ref="O122:P122"/>
    <mergeCell ref="Q122:R122"/>
    <mergeCell ref="S122:T122"/>
    <mergeCell ref="B119:C120"/>
    <mergeCell ref="E119:F119"/>
    <mergeCell ref="G119:H119"/>
    <mergeCell ref="I119:J119"/>
    <mergeCell ref="K119:L119"/>
    <mergeCell ref="M119:N119"/>
    <mergeCell ref="O119:P119"/>
    <mergeCell ref="Q119:R119"/>
    <mergeCell ref="S119:T119"/>
    <mergeCell ref="E120:F120"/>
    <mergeCell ref="G120:H120"/>
    <mergeCell ref="I120:J120"/>
    <mergeCell ref="K120:L120"/>
    <mergeCell ref="M120:N120"/>
    <mergeCell ref="O120:P120"/>
    <mergeCell ref="Q120:R120"/>
    <mergeCell ref="S120:T120"/>
    <mergeCell ref="B117:C118"/>
    <mergeCell ref="E117:F117"/>
    <mergeCell ref="G117:H117"/>
    <mergeCell ref="I117:J117"/>
    <mergeCell ref="K117:L117"/>
    <mergeCell ref="M117:N117"/>
    <mergeCell ref="O117:P117"/>
    <mergeCell ref="Q117:R117"/>
    <mergeCell ref="S117:T117"/>
    <mergeCell ref="E118:F118"/>
    <mergeCell ref="G118:H118"/>
    <mergeCell ref="I118:J118"/>
    <mergeCell ref="K118:L118"/>
    <mergeCell ref="M118:N118"/>
    <mergeCell ref="O118:P118"/>
    <mergeCell ref="Q118:R118"/>
    <mergeCell ref="S118:T118"/>
    <mergeCell ref="B115:D115"/>
    <mergeCell ref="E115:F116"/>
    <mergeCell ref="G115:H116"/>
    <mergeCell ref="I115:J116"/>
    <mergeCell ref="K115:L116"/>
    <mergeCell ref="M115:N116"/>
    <mergeCell ref="O115:P116"/>
    <mergeCell ref="Q115:R116"/>
    <mergeCell ref="S115:T116"/>
    <mergeCell ref="B116:D116"/>
    <mergeCell ref="B100:C100"/>
    <mergeCell ref="B101:C101"/>
    <mergeCell ref="A104:E104"/>
    <mergeCell ref="B106:C106"/>
    <mergeCell ref="B107:C107"/>
    <mergeCell ref="B108:C108"/>
    <mergeCell ref="B109:C109"/>
    <mergeCell ref="B110:C110"/>
    <mergeCell ref="A113:E113"/>
    <mergeCell ref="A90:E90"/>
    <mergeCell ref="B92:C92"/>
    <mergeCell ref="B93:C93"/>
    <mergeCell ref="B94:C94"/>
    <mergeCell ref="B95:C95"/>
    <mergeCell ref="B96:C96"/>
    <mergeCell ref="B97:C97"/>
    <mergeCell ref="B98:C98"/>
    <mergeCell ref="B99:C99"/>
    <mergeCell ref="B82:C83"/>
    <mergeCell ref="E82:F82"/>
    <mergeCell ref="G82:H82"/>
    <mergeCell ref="I82:J82"/>
    <mergeCell ref="K82:L82"/>
    <mergeCell ref="M82:N82"/>
    <mergeCell ref="O82:P82"/>
    <mergeCell ref="Q82:R82"/>
    <mergeCell ref="B85:C87"/>
    <mergeCell ref="S82:T82"/>
    <mergeCell ref="E83:F83"/>
    <mergeCell ref="G83:H83"/>
    <mergeCell ref="I83:J83"/>
    <mergeCell ref="K83:L83"/>
    <mergeCell ref="M83:N83"/>
    <mergeCell ref="O83:P83"/>
    <mergeCell ref="Q83:R83"/>
    <mergeCell ref="S83:T83"/>
    <mergeCell ref="B80:C81"/>
    <mergeCell ref="E80:F80"/>
    <mergeCell ref="G80:H80"/>
    <mergeCell ref="I80:J80"/>
    <mergeCell ref="K80:L80"/>
    <mergeCell ref="M80:N80"/>
    <mergeCell ref="O80:P80"/>
    <mergeCell ref="Q80:R80"/>
    <mergeCell ref="S80:T80"/>
    <mergeCell ref="E81:F81"/>
    <mergeCell ref="G81:H81"/>
    <mergeCell ref="I81:J81"/>
    <mergeCell ref="K81:L81"/>
    <mergeCell ref="M81:N81"/>
    <mergeCell ref="O81:P81"/>
    <mergeCell ref="Q81:R81"/>
    <mergeCell ref="S81:T81"/>
    <mergeCell ref="B78:C79"/>
    <mergeCell ref="E78:F78"/>
    <mergeCell ref="G78:H78"/>
    <mergeCell ref="I78:J78"/>
    <mergeCell ref="K78:L78"/>
    <mergeCell ref="M78:N78"/>
    <mergeCell ref="O78:P78"/>
    <mergeCell ref="Q78:R78"/>
    <mergeCell ref="S78:T78"/>
    <mergeCell ref="E79:F79"/>
    <mergeCell ref="G79:H79"/>
    <mergeCell ref="I79:J79"/>
    <mergeCell ref="K79:L79"/>
    <mergeCell ref="M79:N79"/>
    <mergeCell ref="O79:P79"/>
    <mergeCell ref="Q79:R79"/>
    <mergeCell ref="S79:T79"/>
    <mergeCell ref="B76:C77"/>
    <mergeCell ref="E76:F76"/>
    <mergeCell ref="G76:H76"/>
    <mergeCell ref="I76:J76"/>
    <mergeCell ref="K76:L76"/>
    <mergeCell ref="M76:N76"/>
    <mergeCell ref="O76:P76"/>
    <mergeCell ref="Q76:R76"/>
    <mergeCell ref="S76:T76"/>
    <mergeCell ref="E77:F77"/>
    <mergeCell ref="G77:H77"/>
    <mergeCell ref="I77:J77"/>
    <mergeCell ref="K77:L77"/>
    <mergeCell ref="M77:N77"/>
    <mergeCell ref="O77:P77"/>
    <mergeCell ref="Q77:R77"/>
    <mergeCell ref="S77:T77"/>
    <mergeCell ref="B74:C75"/>
    <mergeCell ref="E74:F74"/>
    <mergeCell ref="G74:H74"/>
    <mergeCell ref="I74:J74"/>
    <mergeCell ref="K74:L74"/>
    <mergeCell ref="M74:N74"/>
    <mergeCell ref="O74:P74"/>
    <mergeCell ref="Q74:R74"/>
    <mergeCell ref="S74:T74"/>
    <mergeCell ref="E75:F75"/>
    <mergeCell ref="G75:H75"/>
    <mergeCell ref="I75:J75"/>
    <mergeCell ref="K75:L75"/>
    <mergeCell ref="M75:N75"/>
    <mergeCell ref="O75:P75"/>
    <mergeCell ref="Q75:R75"/>
    <mergeCell ref="S75:T75"/>
    <mergeCell ref="B72:C73"/>
    <mergeCell ref="E72:F72"/>
    <mergeCell ref="G72:H72"/>
    <mergeCell ref="I72:J72"/>
    <mergeCell ref="K72:L72"/>
    <mergeCell ref="M72:N72"/>
    <mergeCell ref="O72:P72"/>
    <mergeCell ref="Q72:R72"/>
    <mergeCell ref="S72:T72"/>
    <mergeCell ref="E73:F73"/>
    <mergeCell ref="G73:H73"/>
    <mergeCell ref="I73:J73"/>
    <mergeCell ref="K73:L73"/>
    <mergeCell ref="M73:N73"/>
    <mergeCell ref="O73:P73"/>
    <mergeCell ref="Q73:R73"/>
    <mergeCell ref="S73:T73"/>
    <mergeCell ref="K68:L69"/>
    <mergeCell ref="M68:N69"/>
    <mergeCell ref="O68:P69"/>
    <mergeCell ref="Q68:R69"/>
    <mergeCell ref="B53:C55"/>
    <mergeCell ref="S68:T69"/>
    <mergeCell ref="B69:D69"/>
    <mergeCell ref="B70:C71"/>
    <mergeCell ref="E70:F70"/>
    <mergeCell ref="G70:H70"/>
    <mergeCell ref="I70:J70"/>
    <mergeCell ref="K70:L70"/>
    <mergeCell ref="M70:N70"/>
    <mergeCell ref="O70:P70"/>
    <mergeCell ref="Q70:R70"/>
    <mergeCell ref="S70:T70"/>
    <mergeCell ref="E71:F71"/>
    <mergeCell ref="G71:H71"/>
    <mergeCell ref="I71:J71"/>
    <mergeCell ref="K71:L71"/>
    <mergeCell ref="M71:N71"/>
    <mergeCell ref="O71:P71"/>
    <mergeCell ref="Q71:R71"/>
    <mergeCell ref="S71:T71"/>
    <mergeCell ref="B46:C47"/>
    <mergeCell ref="E46:F46"/>
    <mergeCell ref="G46:H46"/>
    <mergeCell ref="I46:J46"/>
    <mergeCell ref="A57:E57"/>
    <mergeCell ref="B59:C59"/>
    <mergeCell ref="B60:C60"/>
    <mergeCell ref="B61:C61"/>
    <mergeCell ref="B62:C62"/>
    <mergeCell ref="B63:C63"/>
    <mergeCell ref="A66:E66"/>
    <mergeCell ref="B68:D68"/>
    <mergeCell ref="E68:F69"/>
    <mergeCell ref="B50:C51"/>
    <mergeCell ref="E50:F50"/>
    <mergeCell ref="G50:H50"/>
    <mergeCell ref="I50:J50"/>
    <mergeCell ref="G68:H69"/>
    <mergeCell ref="I68:J69"/>
    <mergeCell ref="S50:T50"/>
    <mergeCell ref="E51:F51"/>
    <mergeCell ref="G51:H51"/>
    <mergeCell ref="I51:J51"/>
    <mergeCell ref="K51:L51"/>
    <mergeCell ref="M51:N51"/>
    <mergeCell ref="O51:P51"/>
    <mergeCell ref="Q51:R51"/>
    <mergeCell ref="S51:T51"/>
    <mergeCell ref="B48:C49"/>
    <mergeCell ref="E48:F48"/>
    <mergeCell ref="G48:H48"/>
    <mergeCell ref="I48:J48"/>
    <mergeCell ref="K48:L48"/>
    <mergeCell ref="M48:N48"/>
    <mergeCell ref="O48:P48"/>
    <mergeCell ref="Q48:R48"/>
    <mergeCell ref="S48:T48"/>
    <mergeCell ref="E49:F49"/>
    <mergeCell ref="G49:H49"/>
    <mergeCell ref="I49:J49"/>
    <mergeCell ref="K49:L49"/>
    <mergeCell ref="M49:N49"/>
    <mergeCell ref="O49:P49"/>
    <mergeCell ref="Q49:R49"/>
    <mergeCell ref="S49:T49"/>
    <mergeCell ref="K50:L50"/>
    <mergeCell ref="M50:N50"/>
    <mergeCell ref="O50:P50"/>
    <mergeCell ref="Q50:R50"/>
    <mergeCell ref="K46:L46"/>
    <mergeCell ref="M46:N46"/>
    <mergeCell ref="O46:P46"/>
    <mergeCell ref="Q46:R46"/>
    <mergeCell ref="S46:T46"/>
    <mergeCell ref="E47:F47"/>
    <mergeCell ref="G47:H47"/>
    <mergeCell ref="I47:J47"/>
    <mergeCell ref="K47:L47"/>
    <mergeCell ref="M47:N47"/>
    <mergeCell ref="O47:P47"/>
    <mergeCell ref="Q47:R47"/>
    <mergeCell ref="S47:T47"/>
    <mergeCell ref="S36:T37"/>
    <mergeCell ref="K38:L38"/>
    <mergeCell ref="M38:N38"/>
    <mergeCell ref="S38:T38"/>
    <mergeCell ref="E45:F45"/>
    <mergeCell ref="G45:H45"/>
    <mergeCell ref="I45:J45"/>
    <mergeCell ref="K45:L45"/>
    <mergeCell ref="M45:N45"/>
    <mergeCell ref="O45:P45"/>
    <mergeCell ref="Q45:R45"/>
    <mergeCell ref="S45:T45"/>
    <mergeCell ref="O40:P40"/>
    <mergeCell ref="Q40:R40"/>
    <mergeCell ref="S40:T40"/>
    <mergeCell ref="S41:T41"/>
    <mergeCell ref="E44:F44"/>
    <mergeCell ref="B42:C43"/>
    <mergeCell ref="E42:F42"/>
    <mergeCell ref="G42:H42"/>
    <mergeCell ref="I42:J42"/>
    <mergeCell ref="K42:L42"/>
    <mergeCell ref="M42:N42"/>
    <mergeCell ref="O42:P42"/>
    <mergeCell ref="Q42:R42"/>
    <mergeCell ref="S42:T42"/>
    <mergeCell ref="E43:F43"/>
    <mergeCell ref="G43:H43"/>
    <mergeCell ref="I43:J43"/>
    <mergeCell ref="K43:L43"/>
    <mergeCell ref="G44:H44"/>
    <mergeCell ref="I44:J44"/>
    <mergeCell ref="K44:L44"/>
    <mergeCell ref="M44:N44"/>
    <mergeCell ref="O44:P44"/>
    <mergeCell ref="Q44:R44"/>
    <mergeCell ref="S44:T44"/>
    <mergeCell ref="B44:C45"/>
    <mergeCell ref="B40:C41"/>
    <mergeCell ref="B37:D37"/>
    <mergeCell ref="B38:C39"/>
    <mergeCell ref="E38:F38"/>
    <mergeCell ref="G38:H38"/>
    <mergeCell ref="I38:J38"/>
    <mergeCell ref="E41:F41"/>
    <mergeCell ref="G41:H41"/>
    <mergeCell ref="I41:J41"/>
    <mergeCell ref="K41:L41"/>
    <mergeCell ref="M41:N41"/>
    <mergeCell ref="O41:P41"/>
    <mergeCell ref="Q41:R41"/>
    <mergeCell ref="K36:L37"/>
    <mergeCell ref="M36:N37"/>
    <mergeCell ref="O36:P37"/>
    <mergeCell ref="Q36:R37"/>
    <mergeCell ref="O38:P38"/>
    <mergeCell ref="Q38:R38"/>
    <mergeCell ref="E39:F39"/>
    <mergeCell ref="E36:F37"/>
    <mergeCell ref="G36:H37"/>
    <mergeCell ref="I36:J37"/>
    <mergeCell ref="G39:H39"/>
    <mergeCell ref="I39:J39"/>
    <mergeCell ref="K39:L39"/>
    <mergeCell ref="M39:N39"/>
    <mergeCell ref="O39:P39"/>
    <mergeCell ref="Q39:R39"/>
    <mergeCell ref="O15:P15"/>
    <mergeCell ref="M43:N43"/>
    <mergeCell ref="O43:P43"/>
    <mergeCell ref="Q43:R43"/>
    <mergeCell ref="S43:T43"/>
    <mergeCell ref="G40:H40"/>
    <mergeCell ref="I40:J40"/>
    <mergeCell ref="K40:L40"/>
    <mergeCell ref="M40:N40"/>
    <mergeCell ref="S39:T39"/>
    <mergeCell ref="E40:F40"/>
    <mergeCell ref="B1:J1"/>
    <mergeCell ref="B15:C15"/>
    <mergeCell ref="G15:H15"/>
    <mergeCell ref="B16:C16"/>
    <mergeCell ref="G16:H16"/>
    <mergeCell ref="B17:C17"/>
    <mergeCell ref="G17:H17"/>
    <mergeCell ref="A21:E21"/>
    <mergeCell ref="B23:C23"/>
    <mergeCell ref="B24:C24"/>
    <mergeCell ref="B25:C25"/>
    <mergeCell ref="B26:C26"/>
    <mergeCell ref="B27:C27"/>
    <mergeCell ref="B28:C28"/>
    <mergeCell ref="B29:C29"/>
    <mergeCell ref="B30:C30"/>
    <mergeCell ref="A34:E34"/>
    <mergeCell ref="O16:P16"/>
    <mergeCell ref="O17:P17"/>
    <mergeCell ref="A4:T4"/>
    <mergeCell ref="B36:D36"/>
  </mergeCell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selection activeCell="B3" sqref="B3"/>
    </sheetView>
  </sheetViews>
  <sheetFormatPr baseColWidth="10" defaultColWidth="9.109375" defaultRowHeight="15.6" x14ac:dyDescent="0.3"/>
  <cols>
    <col min="1" max="1" width="20" style="39" customWidth="1"/>
    <col min="2" max="2" width="10.33203125" style="39" customWidth="1"/>
    <col min="3" max="4" width="9.109375" style="39"/>
    <col min="5" max="5" width="12.6640625" style="39" customWidth="1"/>
    <col min="6" max="6" width="9.109375" style="39"/>
    <col min="7" max="7" width="29.44140625" style="39" customWidth="1"/>
    <col min="8" max="8" width="21.44140625" style="39" customWidth="1"/>
    <col min="9" max="9" width="22.109375" style="39" customWidth="1"/>
    <col min="10" max="10" width="20.33203125" style="38" customWidth="1"/>
    <col min="11" max="11" width="23.33203125" style="71" bestFit="1" customWidth="1"/>
    <col min="12" max="16384" width="9.109375" style="39"/>
  </cols>
  <sheetData>
    <row r="1" spans="1:14" ht="26.25" customHeight="1" thickBot="1" x14ac:dyDescent="0.35">
      <c r="A1" s="374" t="s">
        <v>349</v>
      </c>
      <c r="B1" s="374"/>
      <c r="C1" s="374"/>
      <c r="D1" s="171"/>
      <c r="E1" s="375" t="s">
        <v>350</v>
      </c>
      <c r="F1" s="376"/>
      <c r="G1" s="376"/>
      <c r="H1" s="376"/>
      <c r="I1" s="376"/>
      <c r="J1" s="376"/>
      <c r="K1" s="377"/>
    </row>
    <row r="2" spans="1:14" x14ac:dyDescent="0.3">
      <c r="A2" s="185" t="s">
        <v>351</v>
      </c>
      <c r="B2" s="186">
        <f>RESULTS_AGE!E5</f>
        <v>50</v>
      </c>
      <c r="C2" s="187"/>
      <c r="D2" s="38"/>
      <c r="E2" s="366" t="s">
        <v>352</v>
      </c>
      <c r="F2" s="378" t="s">
        <v>353</v>
      </c>
      <c r="G2" s="362" t="s">
        <v>354</v>
      </c>
      <c r="H2" s="380"/>
      <c r="I2" s="369" t="s">
        <v>355</v>
      </c>
      <c r="J2" s="370"/>
      <c r="K2" s="371"/>
    </row>
    <row r="3" spans="1:14" ht="16.2" thickBot="1" x14ac:dyDescent="0.35">
      <c r="A3" s="188" t="s">
        <v>356</v>
      </c>
      <c r="B3" s="103" t="s">
        <v>308</v>
      </c>
      <c r="C3" s="189" t="s">
        <v>309</v>
      </c>
      <c r="D3" s="195"/>
      <c r="E3" s="368"/>
      <c r="F3" s="379"/>
      <c r="G3" s="82" t="s">
        <v>357</v>
      </c>
      <c r="H3" s="91" t="s">
        <v>358</v>
      </c>
      <c r="I3" s="84" t="s">
        <v>357</v>
      </c>
      <c r="J3" s="73" t="s">
        <v>358</v>
      </c>
      <c r="K3" s="98" t="s">
        <v>359</v>
      </c>
    </row>
    <row r="4" spans="1:14" x14ac:dyDescent="0.3">
      <c r="A4" s="188" t="s">
        <v>360</v>
      </c>
      <c r="B4" s="190">
        <f>RESULTS_AGE!Q16</f>
        <v>80.284656205129068</v>
      </c>
      <c r="C4" s="191">
        <f>RESULTS_AGE!R16</f>
        <v>66.026230499661324</v>
      </c>
      <c r="D4" s="196"/>
      <c r="E4" s="364" t="s">
        <v>361</v>
      </c>
      <c r="F4" s="87" t="s">
        <v>308</v>
      </c>
      <c r="G4" s="92">
        <f>I4 / RESULTS_AGE!$Q$16</f>
        <v>6.6625913924942104E-2</v>
      </c>
      <c r="H4" s="93">
        <f>J4 / RESULTS_AGE!$I$16</f>
        <v>1.8433134639109127E-2</v>
      </c>
      <c r="I4" s="157">
        <f>RESULTS_AGE!W86</f>
        <v>5.3490385938164984</v>
      </c>
      <c r="J4" s="158">
        <f>RESULTS_AGE!X86</f>
        <v>1.0138224051510021</v>
      </c>
      <c r="K4" s="159">
        <f>(J4/I4)*100</f>
        <v>18.95335745610404</v>
      </c>
      <c r="N4" s="226"/>
    </row>
    <row r="5" spans="1:14" ht="16.2" thickBot="1" x14ac:dyDescent="0.35">
      <c r="A5" s="192" t="s">
        <v>362</v>
      </c>
      <c r="B5" s="193">
        <f>RESULTS_AGE!Q17</f>
        <v>173.91883200000024</v>
      </c>
      <c r="C5" s="194">
        <f>RESULTS_AGE!R17</f>
        <v>162.50635199999994</v>
      </c>
      <c r="D5" s="196"/>
      <c r="E5" s="365"/>
      <c r="F5" s="88" t="s">
        <v>309</v>
      </c>
      <c r="G5" s="94">
        <f>I5 / RESULTS_AGE!$R$16</f>
        <v>6.4426548397094802E-2</v>
      </c>
      <c r="H5" s="95">
        <f>J5 / RESULTS_AGE!$J$16</f>
        <v>1.1646952945933098E-2</v>
      </c>
      <c r="I5" s="160">
        <f>RESULTS_AGE!W87</f>
        <v>4.2538421347641675</v>
      </c>
      <c r="J5" s="161">
        <f>RESULTS_AGE!X87</f>
        <v>0.76900439982688817</v>
      </c>
      <c r="K5" s="162">
        <f t="shared" ref="K5:K25" si="0">(J5/I5)*100</f>
        <v>18.077878197271694</v>
      </c>
    </row>
    <row r="6" spans="1:14" x14ac:dyDescent="0.3">
      <c r="E6" s="362" t="s">
        <v>363</v>
      </c>
      <c r="F6" s="89" t="s">
        <v>308</v>
      </c>
      <c r="G6" s="92">
        <f>I6 / RESULTS_AGE!$Q$16</f>
        <v>1.6974625597216485E-2</v>
      </c>
      <c r="H6" s="96">
        <f>J6 / RESULTS_AGE!$J$16</f>
        <v>2.4827784433224145E-3</v>
      </c>
      <c r="I6" s="101">
        <f>AVERAGE(RESULTS_AGE!D93:D101)</f>
        <v>1.3628019802833091</v>
      </c>
      <c r="J6" s="74">
        <f>STDEV(RESULTS_AGE!D93:D101)</f>
        <v>0.16392850177839607</v>
      </c>
      <c r="K6" s="81">
        <f t="shared" si="0"/>
        <v>12.028783649427735</v>
      </c>
    </row>
    <row r="7" spans="1:14" ht="16.2" thickBot="1" x14ac:dyDescent="0.35">
      <c r="E7" s="363"/>
      <c r="F7" s="90" t="s">
        <v>309</v>
      </c>
      <c r="G7" s="94">
        <f>I7 / RESULTS_AGE!$R$16</f>
        <v>1.992240176271157E-2</v>
      </c>
      <c r="H7" s="97">
        <f>J7 / RESULTS_AGE!$J$16</f>
        <v>1.7915314794157511E-3</v>
      </c>
      <c r="I7" s="102">
        <f>AVERAGE(RESULTS_AGE!E93,RESULTS_AGE!E95:E101)</f>
        <v>1.3154010908916531</v>
      </c>
      <c r="J7" s="72">
        <f>STDEV(RESULTS_AGE!E93,RESULTS_AGE!E95:E101)</f>
        <v>0.11828807040730364</v>
      </c>
      <c r="K7" s="83">
        <f t="shared" si="0"/>
        <v>8.9925476895508201</v>
      </c>
    </row>
    <row r="8" spans="1:14" x14ac:dyDescent="0.3">
      <c r="E8" s="364" t="s">
        <v>364</v>
      </c>
      <c r="F8" s="87" t="s">
        <v>308</v>
      </c>
      <c r="G8" s="92">
        <f>I8 / RESULTS_AGE!$Q$16</f>
        <v>0.12436316374879088</v>
      </c>
      <c r="H8" s="93">
        <f>J8 / RESULTS_AGE!$J$16</f>
        <v>1.8404115620593981E-2</v>
      </c>
      <c r="I8" s="99">
        <f>AVERAGE(RESULTS_AGE!D107:D110)</f>
        <v>9.9844538461538459</v>
      </c>
      <c r="J8" s="75">
        <f>STDEV(RESULTS_AGE!D107:D110)</f>
        <v>1.2151543801077558</v>
      </c>
      <c r="K8" s="76">
        <f t="shared" si="0"/>
        <v>12.170464191948271</v>
      </c>
    </row>
    <row r="9" spans="1:14" ht="16.2" thickBot="1" x14ac:dyDescent="0.35">
      <c r="E9" s="365"/>
      <c r="F9" s="88" t="s">
        <v>309</v>
      </c>
      <c r="G9" s="94">
        <f>I9 / RESULTS_AGE!$R$16</f>
        <v>0.11991753132330003</v>
      </c>
      <c r="H9" s="95">
        <f>J9 / RESULTS_AGE!$J$16</f>
        <v>5.0156529872267958E-2</v>
      </c>
      <c r="I9" s="100">
        <f>AVERAGE(RESULTS_AGE!E108:E110)</f>
        <v>7.9177025641025649</v>
      </c>
      <c r="J9" s="77">
        <f>STDEV(RESULTS_AGE!E108:E110)</f>
        <v>3.311646602409513</v>
      </c>
      <c r="K9" s="78">
        <f t="shared" si="0"/>
        <v>41.825852582842927</v>
      </c>
    </row>
    <row r="10" spans="1:14" x14ac:dyDescent="0.3">
      <c r="E10" s="362" t="s">
        <v>365</v>
      </c>
      <c r="F10" s="89" t="s">
        <v>308</v>
      </c>
      <c r="G10" s="92">
        <f>I10 / RESULTS_AGE!$Q$16</f>
        <v>0.34440597728788014</v>
      </c>
      <c r="H10" s="96">
        <f>J10 / RESULTS_AGE!$J$16</f>
        <v>0.10633983949694341</v>
      </c>
      <c r="I10" s="101">
        <f>AVERAGE(RESULTS_AGE!E117:L117,RESULTS_AGE!O117:T117,RESULTS_AGE!E119:L119,RESULTS_AGE!O119:T119,RESULTS_AGE!E121:L121,RESULTS_AGE!O121:T121,RESULTS_AGE!E123:L123,RESULTS_AGE!O123:T123,RESULTS_AGE!E125:L125,RESULTS_AGE!O125:T125,RESULTS_AGE!E127:H127,RESULTS_AGE!K127,RESULTS_AGE!O127:T127,RESULTS_AGE!E129:L129,RESULTS_AGE!O129:T129)</f>
        <v>27.650515481548947</v>
      </c>
      <c r="J10" s="74">
        <f>STDEV(RESULTS_AGE!E117:L117,RESULTS_AGE!O117:T117,RESULTS_AGE!E119:L119,RESULTS_AGE!O119:T119,RESULTS_AGE!E121:L121,RESULTS_AGE!O121:T121,RESULTS_AGE!E123:L123,RESULTS_AGE!O123:T123,RESULTS_AGE!E125:L125,RESULTS_AGE!O125:T125,RESULTS_AGE!E127:H127,RESULTS_AGE!K127,RESULTS_AGE!O127:T127,RESULTS_AGE!E129:L129,RESULTS_AGE!O129:T129)</f>
        <v>7.0212187539221746</v>
      </c>
      <c r="K10" s="81">
        <f t="shared" si="0"/>
        <v>25.392722817798457</v>
      </c>
    </row>
    <row r="11" spans="1:14" ht="16.2" thickBot="1" x14ac:dyDescent="0.35">
      <c r="E11" s="363"/>
      <c r="F11" s="90" t="s">
        <v>309</v>
      </c>
      <c r="G11" s="94">
        <f>I11 / RESULTS_AGE!$R$16</f>
        <v>0.33230153928878803</v>
      </c>
      <c r="H11" s="97">
        <f>J11 / RESULTS_AGE!$J$16</f>
        <v>7.7524454129631715E-2</v>
      </c>
      <c r="I11" s="102">
        <f>AVERAGE(RESULTS_AGE!G118:T118,RESULTS_AGE!G120,RESULTS_AGE!K120:T120,RESULTS_AGE!G122:T122,RESULTS_AGE!G124:T124,RESULTS_AGE!G126:T126,RESULTS_AGE!G128:T128,RESULTS_AGE!G130:T130)</f>
        <v>21.940618028473782</v>
      </c>
      <c r="J11" s="72">
        <f>STDEV(RESULTS_AGE!G118:T118,RESULTS_AGE!G120,RESULTS_AGE!K120:T120,RESULTS_AGE!G122:T122,RESULTS_AGE!G124:T124,RESULTS_AGE!G126:T126,RESULTS_AGE!G128:T128,RESULTS_AGE!G130:T130)</f>
        <v>5.1186474777234849</v>
      </c>
      <c r="K11" s="83">
        <f t="shared" si="0"/>
        <v>23.329550111490384</v>
      </c>
    </row>
    <row r="12" spans="1:14" x14ac:dyDescent="0.3">
      <c r="E12" s="364" t="s">
        <v>366</v>
      </c>
      <c r="F12" s="87" t="s">
        <v>308</v>
      </c>
      <c r="G12" s="92">
        <f>I12 / RESULTS_AGE!$Q$16</f>
        <v>4.265392837862857E-3</v>
      </c>
      <c r="H12" s="93">
        <f>J12 / RESULTS_AGE!$J$16</f>
        <v>1.2383672468987395E-3</v>
      </c>
      <c r="I12" s="99">
        <f>AVERAGE(RESULTS_AGE!D140,RESULTS_AGE!D142:D148)</f>
        <v>0.34244559756763931</v>
      </c>
      <c r="J12" s="75">
        <f>STDEV(RESULTS_AGE!D140,RESULTS_AGE!D142:D148)</f>
        <v>8.1764721286967185E-2</v>
      </c>
      <c r="K12" s="76">
        <f t="shared" si="0"/>
        <v>23.876703881648574</v>
      </c>
    </row>
    <row r="13" spans="1:14" ht="16.2" thickBot="1" x14ac:dyDescent="0.35">
      <c r="E13" s="365"/>
      <c r="F13" s="88" t="s">
        <v>309</v>
      </c>
      <c r="G13" s="94">
        <f>I13 / RESULTS_AGE!$R$16</f>
        <v>4.7827098862654269E-3</v>
      </c>
      <c r="H13" s="95">
        <f>J13 / RESULTS_AGE!$J$16</f>
        <v>1.2569127425249562E-3</v>
      </c>
      <c r="I13" s="100">
        <f>AVERAGE(RESULTS_AGE!E141:E148)</f>
        <v>0.31578430536357005</v>
      </c>
      <c r="J13" s="77">
        <f>STDEV(RESULTS_AGE!E141:E148)</f>
        <v>8.2989210455914231E-2</v>
      </c>
      <c r="K13" s="78">
        <f t="shared" si="0"/>
        <v>26.280346757691696</v>
      </c>
    </row>
    <row r="14" spans="1:14" x14ac:dyDescent="0.3">
      <c r="E14" s="362" t="s">
        <v>367</v>
      </c>
      <c r="F14" s="89" t="s">
        <v>308</v>
      </c>
      <c r="G14" s="92">
        <f>I14 / RESULTS_AGE!$Q$16</f>
        <v>2.1072548977202621E-2</v>
      </c>
      <c r="H14" s="96">
        <f>J14 / RESULTS_AGE!$J$16</f>
        <v>3.386420522244288E-3</v>
      </c>
      <c r="I14" s="101">
        <f>AVERAGE(RESULTS_AGE!E153:H153,RESULTS_AGE!K153:W153,RESULTS_AGE!Z153:AC153,RESULTS_AGE!G155,RESULTS_AGE!K155:R155,RESULTS_AGE!U155,RESULTS_AGE!Z155:AC155,RESULTS_AGE!E157:H157,RESULTS_AGE!K157:W157,RESULTS_AGE!Z157:AC157,RESULTS_AGE!E159:H159,RESULTS_AGE!K159:W159,RESULTS_AGE!Z159:AC159,RESULTS_AGE!E161:H161,RESULTS_AGE!K161:W161,RESULTS_AGE!Z161:AC161,RESULTS_AGE!G163,RESULTS_AGE!K163:R163,RESULTS_AGE!U163,RESULTS_AGE!Z163:AC163,RESULTS_AGE!E165:H165,RESULTS_AGE!K165:W165,RESULTS_AGE!Z165:AC165)</f>
        <v>1.6918023500004566</v>
      </c>
      <c r="J14" s="74">
        <f>STDEV(RESULTS_AGE!E153:H153,RESULTS_AGE!K153:W153,RESULTS_AGE!Z153:AC153,RESULTS_AGE!G155,RESULTS_AGE!K155:R155,RESULTS_AGE!U155,RESULTS_AGE!Z155:AC155,RESULTS_AGE!E157:H157,RESULTS_AGE!K157:W157,RESULTS_AGE!Z157:AC157,RESULTS_AGE!E159:H159,RESULTS_AGE!K159:W159,RESULTS_AGE!Z159:AC159,RESULTS_AGE!E161:H161,RESULTS_AGE!K161:W161,RESULTS_AGE!Z161:AC161,RESULTS_AGE!G163,RESULTS_AGE!K163:R163,RESULTS_AGE!U163,RESULTS_AGE!Z163:AC163,RESULTS_AGE!E165:H165,RESULTS_AGE!K165:W165,RESULTS_AGE!Z165:AC165)</f>
        <v>0.22359258197048484</v>
      </c>
      <c r="K14" s="81">
        <f t="shared" si="0"/>
        <v>13.216235452706664</v>
      </c>
    </row>
    <row r="15" spans="1:14" ht="16.2" thickBot="1" x14ac:dyDescent="0.35">
      <c r="E15" s="363"/>
      <c r="F15" s="90" t="s">
        <v>309</v>
      </c>
      <c r="G15" s="94">
        <f>I15 / RESULTS_AGE!$R$16</f>
        <v>2.4588828337803865E-2</v>
      </c>
      <c r="H15" s="97">
        <f>J15 / RESULTS_AGE!$J$16</f>
        <v>8.8561339563902799E-3</v>
      </c>
      <c r="I15" s="102">
        <f>AVERAGE(RESULTS_AGE!E154,RESULTS_AGE!I154,RESULTS_AGE!K154:Y154,RESULTS_AGE!Z154:AC154,RESULTS_AGE!I156:AC156,RESULTS_AGE!E156,RESULTS_AGE!E158,RESULTS_AGE!I158:AC158,RESULTS_AGE!I160:AC160,RESULTS_AGE!E160,RESULTS_AGE!E162,RESULTS_AGE!I162:AC162,RESULTS_AGE!I164:AC164,RESULTS_AGE!E164,RESULTS_AGE!E166,RESULTS_AGE!I166:AC166)</f>
        <v>1.6235076475484422</v>
      </c>
      <c r="J15" s="72">
        <f>STDEV(RESULTS_AGE!E154,RESULTS_AGE!I154,RESULTS_AGE!K154:Y154,RESULTS_AGE!Z154:AC154,RESULTS_AGE!I156:AC156,RESULTS_AGE!E156,RESULTS_AGE!E158,RESULTS_AGE!I158:AC158,RESULTS_AGE!I160:AC160,RESULTS_AGE!E160,RESULTS_AGE!E162,RESULTS_AGE!I162:AC162,RESULTS_AGE!I164:AC164,RESULTS_AGE!E164,RESULTS_AGE!E166,RESULTS_AGE!I166:AC166)</f>
        <v>0.58473714194050219</v>
      </c>
      <c r="K15" s="83">
        <f t="shared" si="0"/>
        <v>36.016900987406949</v>
      </c>
    </row>
    <row r="16" spans="1:14" x14ac:dyDescent="0.3">
      <c r="E16" s="364" t="s">
        <v>368</v>
      </c>
      <c r="F16" s="87" t="s">
        <v>308</v>
      </c>
      <c r="G16" s="92">
        <f>I16 / RESULTS_AGE!$Q$16</f>
        <v>1.0534067697425469E-2</v>
      </c>
      <c r="H16" s="93">
        <f>J16 / RESULTS_AGE!$J$16</f>
        <v>3.8399379384245905E-3</v>
      </c>
      <c r="I16" s="99">
        <f>AVERAGE(RESULTS_AGE!D176:D183)</f>
        <v>0.84572400352935939</v>
      </c>
      <c r="J16" s="75">
        <f>STDEV(RESULTS_AGE!D176:D183)</f>
        <v>0.25353662742681632</v>
      </c>
      <c r="K16" s="76">
        <f t="shared" si="0"/>
        <v>29.978648633450401</v>
      </c>
    </row>
    <row r="17" spans="5:11" ht="16.2" thickBot="1" x14ac:dyDescent="0.35">
      <c r="E17" s="365"/>
      <c r="F17" s="88" t="s">
        <v>309</v>
      </c>
      <c r="G17" s="94">
        <f>I17 / RESULTS_AGE!$R$16</f>
        <v>1.11128539044269E-2</v>
      </c>
      <c r="H17" s="95">
        <f>J17 / RESULTS_AGE!$J$16</f>
        <v>4.3008383569488849E-3</v>
      </c>
      <c r="I17" s="100">
        <f>AVERAGE(RESULTS_AGE!E177:E183)</f>
        <v>0.73373985340275183</v>
      </c>
      <c r="J17" s="77">
        <f>STDEV(RESULTS_AGE!E177:E183)</f>
        <v>0.28396814469769177</v>
      </c>
      <c r="K17" s="78">
        <f t="shared" si="0"/>
        <v>38.701474832091598</v>
      </c>
    </row>
    <row r="18" spans="5:11" x14ac:dyDescent="0.3">
      <c r="E18" s="366" t="s">
        <v>369</v>
      </c>
      <c r="F18" s="89" t="s">
        <v>308</v>
      </c>
      <c r="G18" s="92">
        <f>I18 / RESULTS_AGE!$Q$16</f>
        <v>1.6007452352746489E-3</v>
      </c>
      <c r="H18" s="96">
        <f>J18 / RESULTS_AGE!$J$16</f>
        <v>3.3949760351256514E-4</v>
      </c>
      <c r="I18" s="101">
        <f>AVERAGE(RESULTS_AGE!D189:D191)</f>
        <v>0.12851528088602363</v>
      </c>
      <c r="J18" s="74">
        <f>STDEV(RESULTS_AGE!D189:D191)</f>
        <v>2.2415747023603255E-2</v>
      </c>
      <c r="K18" s="81">
        <f t="shared" si="0"/>
        <v>17.442086940216171</v>
      </c>
    </row>
    <row r="19" spans="5:11" ht="16.2" thickBot="1" x14ac:dyDescent="0.35">
      <c r="E19" s="366"/>
      <c r="F19" s="90" t="s">
        <v>309</v>
      </c>
      <c r="G19" s="94">
        <f>I19 / RESULTS_AGE!$R$16</f>
        <v>1.6551453287073175E-3</v>
      </c>
      <c r="H19" s="97">
        <f>J19 / RESULTS_AGE!$J$16</f>
        <v>2.9866527371049875E-4</v>
      </c>
      <c r="I19" s="102">
        <f>AVERAGE(RESULTS_AGE!E189:E191)</f>
        <v>0.10928300698366705</v>
      </c>
      <c r="J19" s="72">
        <f>STDEV(RESULTS_AGE!E189:E191)</f>
        <v>1.9719742204253831E-2</v>
      </c>
      <c r="K19" s="83">
        <f t="shared" si="0"/>
        <v>18.044655567723403</v>
      </c>
    </row>
    <row r="20" spans="5:11" x14ac:dyDescent="0.3">
      <c r="E20" s="367" t="s">
        <v>370</v>
      </c>
      <c r="F20" s="87" t="s">
        <v>308</v>
      </c>
      <c r="G20" s="92">
        <f>I20 / RESULTS_AGE!$Q$16</f>
        <v>3.5621318480235357E-2</v>
      </c>
      <c r="H20" s="93">
        <f>J20 / RESULTS_AGE!$J$16</f>
        <v>8.2720158411177733E-3</v>
      </c>
      <c r="I20" s="99">
        <f>AVERAGE(RESULTS_AGE!E198,RESULTS_AGE!E200,RESULTS_AGE!E202,RESULTS_AGE!E204,RESULTS_AGE!E206,RESULTS_AGE!E208,RESULTS_AGE!E210,RESULTS_AGE!I198:N198,RESULTS_AGE!Q198:W198,RESULTS_AGE!M200,RESULTS_AGE!Q200:T200,RESULTS_AGE!I202:N202,RESULTS_AGE!Q202:W202,RESULTS_AGE!I204:N204,RESULTS_AGE!Q204:W204,RESULTS_AGE!I206:N206,RESULTS_AGE!Q206:W206,RESULTS_AGE!M208,RESULTS_AGE!Q208:T208,RESULTS_AGE!I210:N210,RESULTS_AGE!Q210:W210,RESULTS_AGE!G198,RESULTS_AGE!G200,RESULTS_AGE!G202,RESULTS_AGE!G204,RESULTS_AGE!G206,RESULTS_AGE!G208,RESULTS_AGE!G210)</f>
        <v>2.8598453077591062</v>
      </c>
      <c r="J20" s="75">
        <f>STDEV(RESULTS_AGE!E198,RESULTS_AGE!E200,RESULTS_AGE!E202,RESULTS_AGE!E204,RESULTS_AGE!E206,RESULTS_AGE!E208,RESULTS_AGE!E210,RESULTS_AGE!I198:N198,RESULTS_AGE!Q198:W198,RESULTS_AGE!M200,RESULTS_AGE!Q200:T200,RESULTS_AGE!I202:N202,RESULTS_AGE!Q202:W202,RESULTS_AGE!I204:N204,RESULTS_AGE!Q204:W204,RESULTS_AGE!I206:N206,RESULTS_AGE!Q206:W206,RESULTS_AGE!M208,RESULTS_AGE!Q208:T208,RESULTS_AGE!I210:N210,RESULTS_AGE!Q210:W210,RESULTS_AGE!G198,RESULTS_AGE!G200,RESULTS_AGE!G202,RESULTS_AGE!G204,RESULTS_AGE!G206,RESULTS_AGE!G208,RESULTS_AGE!G210)</f>
        <v>0.54617002462249198</v>
      </c>
      <c r="K20" s="76">
        <f t="shared" si="0"/>
        <v>19.097886978035721</v>
      </c>
    </row>
    <row r="21" spans="5:11" ht="16.2" thickBot="1" x14ac:dyDescent="0.35">
      <c r="E21" s="368"/>
      <c r="F21" s="88" t="s">
        <v>309</v>
      </c>
      <c r="G21" s="94">
        <f>I21 / RESULTS_AGE!$R$16</f>
        <v>4.0201666419691431E-2</v>
      </c>
      <c r="H21" s="95">
        <f>J21 / RESULTS_AGE!$J$16</f>
        <v>9.2187580408941809E-3</v>
      </c>
      <c r="I21" s="100">
        <f>AVERAGE(RESULTS_AGE!I199:W199,RESULTS_AGE!I201:W201,RESULTS_AGE!I203:W203,RESULTS_AGE!I205:W205,RESULTS_AGE!I207:W207,RESULTS_AGE!I209:W209,RESULTS_AGE!I211:W211,RESULTS_AGE!G199,RESULTS_AGE!G201,RESULTS_AGE!G203,RESULTS_AGE!G205,RESULTS_AGE!G207,RESULTS_AGE!G209,RESULTS_AGE!G211)</f>
        <v>2.6543644934970407</v>
      </c>
      <c r="J21" s="77">
        <f>STDEV(RESULTS_AGE!I199:W199,RESULTS_AGE!I201:W201,RESULTS_AGE!I203:W203,RESULTS_AGE!I205:W205,RESULTS_AGE!I207:W207,RESULTS_AGE!I209:W209,RESULTS_AGE!I211:W211,RESULTS_AGE!G199,RESULTS_AGE!G201,RESULTS_AGE!G203,RESULTS_AGE!G205,RESULTS_AGE!G207,RESULTS_AGE!G209,RESULTS_AGE!G211)</f>
        <v>0.60867984332868541</v>
      </c>
      <c r="K21" s="78">
        <f t="shared" si="0"/>
        <v>22.931283356897573</v>
      </c>
    </row>
    <row r="22" spans="5:11" x14ac:dyDescent="0.3">
      <c r="E22" s="366" t="s">
        <v>371</v>
      </c>
      <c r="F22" s="89" t="s">
        <v>308</v>
      </c>
      <c r="G22" s="92">
        <f>I22 / RESULTS_AGE!$Q$16</f>
        <v>2.0001289078650313E-3</v>
      </c>
      <c r="H22" s="96">
        <f>J22 / RESULTS_AGE!$J$16</f>
        <v>4.9445880367155403E-4</v>
      </c>
      <c r="I22" s="101">
        <f>AVERAGE(RESULTS_AGE!D221:D225)</f>
        <v>0.16057966173388433</v>
      </c>
      <c r="J22" s="74">
        <f>STDEV(RESULTS_AGE!D221:D225)</f>
        <v>3.2647250943804815E-2</v>
      </c>
      <c r="K22" s="81">
        <f t="shared" si="0"/>
        <v>20.330875399344446</v>
      </c>
    </row>
    <row r="23" spans="5:11" ht="16.2" thickBot="1" x14ac:dyDescent="0.35">
      <c r="E23" s="366"/>
      <c r="F23" s="90" t="s">
        <v>309</v>
      </c>
      <c r="G23" s="94">
        <f>I23 / RESULTS_AGE!$R$16</f>
        <v>2.2786862653758643E-3</v>
      </c>
      <c r="H23" s="97">
        <f>J23 / RESULTS_AGE!$J$16</f>
        <v>3.5638442115935908E-4</v>
      </c>
      <c r="I23" s="102">
        <f>AVERAGE(RESULTS_AGE!E222:E225)</f>
        <v>0.15045306459411925</v>
      </c>
      <c r="J23" s="72">
        <f>STDEV(RESULTS_AGE!E222:E225)</f>
        <v>2.3530719937956222E-2</v>
      </c>
      <c r="K23" s="83">
        <f t="shared" si="0"/>
        <v>15.639907370072917</v>
      </c>
    </row>
    <row r="24" spans="5:11" x14ac:dyDescent="0.3">
      <c r="E24" s="367" t="s">
        <v>372</v>
      </c>
      <c r="F24" s="87" t="s">
        <v>308</v>
      </c>
      <c r="G24" s="92">
        <f>I24 / RESULTS_AGE!$Q$16</f>
        <v>0.23697724738806103</v>
      </c>
      <c r="H24" s="93">
        <f>J24 / RESULTS_AGE!$J$16</f>
        <v>5.0200832633961835E-2</v>
      </c>
      <c r="I24" s="99">
        <f>AVERAGE(RESULTS_AGE!D231,RESULTS_AGE!D234:D237)</f>
        <v>19.025636834988301</v>
      </c>
      <c r="J24" s="75">
        <f>STDEV(RESULTS_AGE!D231,RESULTS_AGE!D234:D237)</f>
        <v>3.3145717467648845</v>
      </c>
      <c r="K24" s="76">
        <f t="shared" si="0"/>
        <v>17.42160735807466</v>
      </c>
    </row>
    <row r="25" spans="5:11" ht="16.2" thickBot="1" x14ac:dyDescent="0.35">
      <c r="E25" s="368"/>
      <c r="F25" s="88" t="s">
        <v>309</v>
      </c>
      <c r="G25" s="94">
        <f>I25 / RESULTS_AGE!$R$16</f>
        <v>0.34341008764843051</v>
      </c>
      <c r="H25" s="95">
        <f>J25 / RESULTS_AGE!$J$16</f>
        <v>6.425049789736878E-2</v>
      </c>
      <c r="I25" s="100">
        <f>AVERAGE(RESULTS_AGE!E231,RESULTS_AGE!E233:E237)</f>
        <v>22.674073602984169</v>
      </c>
      <c r="J25" s="77">
        <f>STDEV(RESULTS_AGE!E231,RESULTS_AGE!E233:E237)</f>
        <v>4.2422181838896762</v>
      </c>
      <c r="K25" s="78">
        <f t="shared" si="0"/>
        <v>18.709554613650685</v>
      </c>
    </row>
    <row r="26" spans="5:11" x14ac:dyDescent="0.3">
      <c r="E26" s="366" t="s">
        <v>373</v>
      </c>
      <c r="F26" s="89" t="s">
        <v>308</v>
      </c>
      <c r="G26" s="92">
        <f>I26 / RESULTS_AGE!$Q$16</f>
        <v>2.0000000000000001E-4</v>
      </c>
      <c r="H26" s="96" t="s">
        <v>55</v>
      </c>
      <c r="I26" s="101">
        <f>AVERAGE(RESULTS_AGE!D244)</f>
        <v>1.6056931241025814E-2</v>
      </c>
      <c r="J26" s="74" t="s">
        <v>55</v>
      </c>
      <c r="K26" s="85" t="s">
        <v>55</v>
      </c>
    </row>
    <row r="27" spans="5:11" ht="16.2" thickBot="1" x14ac:dyDescent="0.35">
      <c r="E27" s="366"/>
      <c r="F27" s="90" t="s">
        <v>309</v>
      </c>
      <c r="G27" s="94">
        <f>I27 / RESULTS_AGE!$R$16</f>
        <v>2.0000000000000001E-4</v>
      </c>
      <c r="H27" s="97" t="s">
        <v>55</v>
      </c>
      <c r="I27" s="102">
        <f>AVERAGE(RESULTS_AGE!E244)</f>
        <v>1.3205246099932266E-2</v>
      </c>
      <c r="J27" s="72" t="s">
        <v>55</v>
      </c>
      <c r="K27" s="86" t="s">
        <v>55</v>
      </c>
    </row>
    <row r="28" spans="5:11" x14ac:dyDescent="0.3">
      <c r="E28" s="367" t="s">
        <v>374</v>
      </c>
      <c r="F28" s="87" t="s">
        <v>308</v>
      </c>
      <c r="G28" s="92">
        <f>I28 / RESULTS_AGE!$Q$16</f>
        <v>3.4200000000000002E-4</v>
      </c>
      <c r="H28" s="93" t="s">
        <v>55</v>
      </c>
      <c r="I28" s="99">
        <f>AVERAGE(RESULTS_AGE!D250)</f>
        <v>2.7457352422154142E-2</v>
      </c>
      <c r="J28" s="75" t="s">
        <v>55</v>
      </c>
      <c r="K28" s="79" t="s">
        <v>55</v>
      </c>
    </row>
    <row r="29" spans="5:11" ht="16.2" thickBot="1" x14ac:dyDescent="0.35">
      <c r="E29" s="368"/>
      <c r="F29" s="88" t="s">
        <v>309</v>
      </c>
      <c r="G29" s="94">
        <f>I29 / RESULTS_AGE!$R$16</f>
        <v>8.3300000000000006E-3</v>
      </c>
      <c r="H29" s="95" t="s">
        <v>55</v>
      </c>
      <c r="I29" s="100">
        <f>AVERAGE(RESULTS_AGE!E250)</f>
        <v>0.54999850006217887</v>
      </c>
      <c r="J29" s="77" t="s">
        <v>55</v>
      </c>
      <c r="K29" s="80" t="s">
        <v>55</v>
      </c>
    </row>
    <row r="30" spans="5:11" x14ac:dyDescent="0.3">
      <c r="E30" s="366" t="s">
        <v>375</v>
      </c>
      <c r="F30" s="89" t="s">
        <v>308</v>
      </c>
      <c r="G30" s="92">
        <f>I30 / RESULTS_AGE!$Q$16</f>
        <v>1.400924948243844E-2</v>
      </c>
      <c r="H30" s="96">
        <f>J30 / RESULTS_AGE!$J$16</f>
        <v>2.7823231587593223E-3</v>
      </c>
      <c r="I30" s="101">
        <f>AVERAGE(RESULTS_AGE!E257,RESULTS_AGE!I257:R257,RESULTS_AGE!E259,RESULTS_AGE!E261,RESULTS_AGE!E263,RESULTS_AGE!E265,RESULTS_AGE!E267,RESULTS_AGE!E269,RESULTS_AGE!I259:R259,RESULTS_AGE!K261:R261,RESULTS_AGE!I263:R263,RESULTS_AGE!I265:R265,RESULTS_AGE!I267:R267,RESULTS_AGE!I269:R269,RESULTS_AGE!G257,RESULTS_AGE!G259,RESULTS_AGE!G261,RESULTS_AGE!G263,RESULTS_AGE!G265,RESULTS_AGE!G267,RESULTS_AGE!G269)</f>
        <v>1.1247277783894525</v>
      </c>
      <c r="J30" s="74">
        <f>STDEV(RESULTS_AGE!E257,RESULTS_AGE!I257:R257,RESULTS_AGE!E259,RESULTS_AGE!E261,RESULTS_AGE!E263,RESULTS_AGE!E265,RESULTS_AGE!E267,RESULTS_AGE!E269,RESULTS_AGE!I259:R259,RESULTS_AGE!K261:R261,RESULTS_AGE!I263:R263,RESULTS_AGE!I265:R265,RESULTS_AGE!I267:R267,RESULTS_AGE!I269:R269,RESULTS_AGE!G257,RESULTS_AGE!G259,RESULTS_AGE!G261,RESULTS_AGE!G263,RESULTS_AGE!G265,RESULTS_AGE!G267,RESULTS_AGE!G269)</f>
        <v>0.18370631020478881</v>
      </c>
      <c r="K30" s="81">
        <f t="shared" ref="K30:K39" si="1">(J30/I30)*100</f>
        <v>16.333402067106942</v>
      </c>
    </row>
    <row r="31" spans="5:11" ht="16.2" thickBot="1" x14ac:dyDescent="0.35">
      <c r="E31" s="366"/>
      <c r="F31" s="90" t="s">
        <v>309</v>
      </c>
      <c r="G31" s="94">
        <f>I31 / RESULTS_AGE!$R$16</f>
        <v>1.6430197770870979E-2</v>
      </c>
      <c r="H31" s="97">
        <f>J31 / RESULTS_AGE!$J$16</f>
        <v>1.6642746782081993E-3</v>
      </c>
      <c r="I31" s="102">
        <f>AVERAGE(RESULTS_AGE!I258:P258,RESULTS_AGE!K260:P260,RESULTS_AGE!I262:P262,RESULTS_AGE!I264:P264,RESULTS_AGE!I266:P266,RESULTS_AGE!I268:P268,RESULTS_AGE!I270:P270,RESULTS_AGE!G258,RESULTS_AGE!G260,RESULTS_AGE!G262,RESULTS_AGE!G264,RESULTS_AGE!G266,RESULTS_AGE!G268,RESULTS_AGE!G270)</f>
        <v>1.0848240251745489</v>
      </c>
      <c r="J31" s="72">
        <f>STDEV(RESULTS_AGE!I258:P258,RESULTS_AGE!K260:P260,RESULTS_AGE!I262:P262,RESULTS_AGE!I264:P264,RESULTS_AGE!I266:P266,RESULTS_AGE!I268:P268,RESULTS_AGE!I270:P270,RESULTS_AGE!G258,RESULTS_AGE!G260,RESULTS_AGE!G262,RESULTS_AGE!G264,RESULTS_AGE!G266,RESULTS_AGE!G268,RESULTS_AGE!G270)</f>
        <v>0.10988578351812425</v>
      </c>
      <c r="K31" s="83">
        <f t="shared" si="1"/>
        <v>10.129364852556943</v>
      </c>
    </row>
    <row r="32" spans="5:11" x14ac:dyDescent="0.3">
      <c r="E32" s="367" t="s">
        <v>376</v>
      </c>
      <c r="F32" s="87" t="s">
        <v>308</v>
      </c>
      <c r="G32" s="92">
        <f>I32 / RESULTS_AGE!$Q$16</f>
        <v>4.0717355210645083E-3</v>
      </c>
      <c r="H32" s="93">
        <f>J32 / RESULTS_AGE!$J$16</f>
        <v>4.395467131101564E-4</v>
      </c>
      <c r="I32" s="99">
        <f>AVERAGE(RESULTS_AGE!D280:D282,RESULTS_AGE!D284:D285)</f>
        <v>0.32689788646687612</v>
      </c>
      <c r="J32" s="75">
        <f>STDEV(RESULTS_AGE!D280:D282,RESULTS_AGE!D284:D285)</f>
        <v>2.9021612595179696E-2</v>
      </c>
      <c r="K32" s="76">
        <f t="shared" si="1"/>
        <v>8.8778832157180041</v>
      </c>
    </row>
    <row r="33" spans="5:11" ht="16.2" thickBot="1" x14ac:dyDescent="0.35">
      <c r="E33" s="368"/>
      <c r="F33" s="88" t="s">
        <v>309</v>
      </c>
      <c r="G33" s="94">
        <f>I33 / RESULTS_AGE!$R$16</f>
        <v>4.3116882064532175E-3</v>
      </c>
      <c r="H33" s="95">
        <f>J33 / RESULTS_AGE!$J$16</f>
        <v>4.4891638516923011E-4</v>
      </c>
      <c r="I33" s="100">
        <f>AVERAGE(RESULTS_AGE!E281:E285)</f>
        <v>0.28468451936195144</v>
      </c>
      <c r="J33" s="77">
        <f>STDEV(RESULTS_AGE!E281:E285)</f>
        <v>2.9640256722258333E-2</v>
      </c>
      <c r="K33" s="78">
        <f t="shared" si="1"/>
        <v>10.41161521135378</v>
      </c>
    </row>
    <row r="34" spans="5:11" x14ac:dyDescent="0.3">
      <c r="E34" s="366" t="s">
        <v>377</v>
      </c>
      <c r="F34" s="89" t="s">
        <v>308</v>
      </c>
      <c r="G34" s="92">
        <f>I34 / RESULTS_AGE!$Q$16</f>
        <v>3.6026384178697642E-2</v>
      </c>
      <c r="H34" s="96">
        <f>J34 / RESULTS_AGE!$J$16</f>
        <v>1.4353630483155053E-2</v>
      </c>
      <c r="I34" s="101">
        <f>AVERAGE(RESULTS_AGE!D291:D294)</f>
        <v>2.892365868100641</v>
      </c>
      <c r="J34" s="74">
        <f>STDEV(RESULTS_AGE!D291:D294)</f>
        <v>0.94771611478776063</v>
      </c>
      <c r="K34" s="81">
        <f t="shared" si="1"/>
        <v>32.766121507653764</v>
      </c>
    </row>
    <row r="35" spans="5:11" ht="16.2" thickBot="1" x14ac:dyDescent="0.35">
      <c r="E35" s="366"/>
      <c r="F35" s="90" t="s">
        <v>309</v>
      </c>
      <c r="G35" s="94">
        <f>I35 / RESULTS_AGE!$R$16</f>
        <v>3.4458208321332749E-2</v>
      </c>
      <c r="H35" s="97">
        <f>J35 / RESULTS_AGE!$J$16</f>
        <v>1.225215662373977E-2</v>
      </c>
      <c r="I35" s="102">
        <f>AVERAGE(RESULTS_AGE!E292:E294)</f>
        <v>2.2751456052296639</v>
      </c>
      <c r="J35" s="72">
        <f>STDEV(RESULTS_AGE!E292:E294)</f>
        <v>0.80896371735699435</v>
      </c>
      <c r="K35" s="83">
        <f t="shared" si="1"/>
        <v>35.556569016835901</v>
      </c>
    </row>
    <row r="36" spans="5:11" x14ac:dyDescent="0.3">
      <c r="E36" s="367" t="s">
        <v>378</v>
      </c>
      <c r="F36" s="87" t="s">
        <v>308</v>
      </c>
      <c r="G36" s="92">
        <f>I36 / RESULTS_AGE!$Q$16</f>
        <v>7.2936640709292649E-4</v>
      </c>
      <c r="H36" s="93">
        <f>J36 / RESULTS_AGE!$J$16</f>
        <v>9.1520188520958031E-5</v>
      </c>
      <c r="I36" s="99">
        <f>AVERAGE(RESULTS_AGE!D300,RESULTS_AGE!D301,RESULTS_AGE!D302,RESULTS_AGE!D303)</f>
        <v>5.855693124102581E-2</v>
      </c>
      <c r="J36" s="75">
        <f>STDEV(RESULTS_AGE!D300,RESULTS_AGE!D301,RESULTS_AGE!D302,RESULTS_AGE!D303)</f>
        <v>6.0427330626572334E-3</v>
      </c>
      <c r="K36" s="76">
        <f t="shared" si="1"/>
        <v>10.319415540723572</v>
      </c>
    </row>
    <row r="37" spans="5:11" ht="16.2" thickBot="1" x14ac:dyDescent="0.35">
      <c r="E37" s="368"/>
      <c r="F37" s="88" t="s">
        <v>309</v>
      </c>
      <c r="G37" s="94">
        <f>I37 / RESULTS_AGE!$R$16</f>
        <v>1.0221831949880026E-3</v>
      </c>
      <c r="H37" s="95">
        <f>J37 / RESULTS_AGE!$J$16</f>
        <v>4.5883481249229608E-4</v>
      </c>
      <c r="I37" s="100">
        <f>AVERAGE(RESULTS_AGE!E301:E303)</f>
        <v>6.7490903245158121E-2</v>
      </c>
      <c r="J37" s="77">
        <f>STDEV(RESULTS_AGE!E301:E303)</f>
        <v>3.0295133090885225E-2</v>
      </c>
      <c r="K37" s="78">
        <f t="shared" si="1"/>
        <v>44.887728025863453</v>
      </c>
    </row>
    <row r="38" spans="5:11" x14ac:dyDescent="0.3">
      <c r="E38" s="366" t="s">
        <v>379</v>
      </c>
      <c r="F38" s="89" t="s">
        <v>308</v>
      </c>
      <c r="G38" s="92">
        <f>I38 / RESULTS_AGE!$Q$16</f>
        <v>2.1946816200270865E-3</v>
      </c>
      <c r="H38" s="96">
        <f>J38 / RESULTS_AGE!$J$16</f>
        <v>9.9703949074117978E-5</v>
      </c>
      <c r="I38" s="101">
        <f>AVERAGE(RESULTS_AGE!D310:D312)</f>
        <v>0.17619925934359035</v>
      </c>
      <c r="J38" s="74">
        <f>STDEV(RESULTS_AGE!D310:D312)</f>
        <v>6.5830759232942074E-3</v>
      </c>
      <c r="K38" s="81">
        <f t="shared" si="1"/>
        <v>3.7361541403855405</v>
      </c>
    </row>
    <row r="39" spans="5:11" ht="16.2" thickBot="1" x14ac:dyDescent="0.35">
      <c r="E39" s="366"/>
      <c r="F39" s="90" t="s">
        <v>309</v>
      </c>
      <c r="G39" s="94">
        <f>I39 / RESULTS_AGE!$R$16</f>
        <v>2.7614381929138552E-3</v>
      </c>
      <c r="H39" s="97">
        <f>J39 / RESULTS_AGE!$J$16</f>
        <v>4.9849528977068376E-5</v>
      </c>
      <c r="I39" s="102">
        <f>AVERAGE(RESULTS_AGE!E311:E312)</f>
        <v>0.18232735463589844</v>
      </c>
      <c r="J39" s="72">
        <f>STDEV(RESULTS_AGE!E311:E312)</f>
        <v>3.2913764905394632E-3</v>
      </c>
      <c r="K39" s="83">
        <f t="shared" si="1"/>
        <v>1.8052016918208629</v>
      </c>
    </row>
    <row r="40" spans="5:11" x14ac:dyDescent="0.3">
      <c r="E40" s="367" t="s">
        <v>380</v>
      </c>
      <c r="F40" s="87" t="s">
        <v>308</v>
      </c>
      <c r="G40" s="92">
        <f>I40 / RESULTS_AGE!$Q$16</f>
        <v>2.7399999999999999E-4</v>
      </c>
      <c r="H40" s="93" t="s">
        <v>55</v>
      </c>
      <c r="I40" s="99">
        <f>AVERAGE(RESULTS_AGE!D318)</f>
        <v>2.1997995800205363E-2</v>
      </c>
      <c r="J40" s="75" t="s">
        <v>55</v>
      </c>
      <c r="K40" s="79" t="s">
        <v>55</v>
      </c>
    </row>
    <row r="41" spans="5:11" ht="16.2" thickBot="1" x14ac:dyDescent="0.35">
      <c r="E41" s="368"/>
      <c r="F41" s="88" t="s">
        <v>309</v>
      </c>
      <c r="G41" s="94">
        <f>I41 / RESULTS_AGE!$R$16</f>
        <v>2.833E-4</v>
      </c>
      <c r="H41" s="95" t="s">
        <v>55</v>
      </c>
      <c r="I41" s="100">
        <f>AVERAGE(RESULTS_AGE!E318)</f>
        <v>1.8705231100554054E-2</v>
      </c>
      <c r="J41" s="77" t="s">
        <v>55</v>
      </c>
      <c r="K41" s="80" t="s">
        <v>55</v>
      </c>
    </row>
    <row r="42" spans="5:11" x14ac:dyDescent="0.3">
      <c r="E42" s="366" t="s">
        <v>381</v>
      </c>
      <c r="F42" s="89" t="s">
        <v>308</v>
      </c>
      <c r="G42" s="156">
        <v>1.7000000000000001E-2</v>
      </c>
      <c r="H42" s="96" t="s">
        <v>55</v>
      </c>
      <c r="I42" s="101">
        <f>AVERAGE(RESULTS_AGE!D324)</f>
        <v>2.4085396861538721E-2</v>
      </c>
      <c r="J42" s="74" t="s">
        <v>55</v>
      </c>
      <c r="K42" s="85" t="s">
        <v>55</v>
      </c>
    </row>
    <row r="43" spans="5:11" ht="16.2" thickBot="1" x14ac:dyDescent="0.35">
      <c r="E43" s="366"/>
      <c r="F43" s="90" t="s">
        <v>309</v>
      </c>
      <c r="G43" s="94">
        <f>I43 / RESULTS_AGE!$R$16</f>
        <v>3.0000000000000003E-4</v>
      </c>
      <c r="H43" s="97" t="s">
        <v>55</v>
      </c>
      <c r="I43" s="102">
        <f>AVERAGE(RESULTS_AGE!E324)</f>
        <v>1.9807869149898398E-2</v>
      </c>
      <c r="J43" s="72" t="s">
        <v>55</v>
      </c>
      <c r="K43" s="86" t="s">
        <v>55</v>
      </c>
    </row>
    <row r="44" spans="5:11" x14ac:dyDescent="0.3">
      <c r="E44" s="367" t="s">
        <v>382</v>
      </c>
      <c r="F44" s="87" t="s">
        <v>308</v>
      </c>
      <c r="G44" s="156">
        <v>1.7000000000000001E-2</v>
      </c>
      <c r="H44" s="93" t="s">
        <v>55</v>
      </c>
      <c r="I44" s="99">
        <f>AVERAGE(RESULTS_AGE!D330)</f>
        <v>9.5108540884103573E-2</v>
      </c>
      <c r="J44" s="75" t="s">
        <v>55</v>
      </c>
      <c r="K44" s="79" t="s">
        <v>55</v>
      </c>
    </row>
    <row r="45" spans="5:11" ht="16.2" thickBot="1" x14ac:dyDescent="0.35">
      <c r="E45" s="368"/>
      <c r="F45" s="88" t="s">
        <v>309</v>
      </c>
      <c r="G45" s="94">
        <f>I45 / RESULTS_AGE!$R$16</f>
        <v>1.1834844076854846E-3</v>
      </c>
      <c r="H45" s="95" t="s">
        <v>55</v>
      </c>
      <c r="I45" s="100">
        <f>AVERAGE(RESULTS_AGE!E330:E331)</f>
        <v>7.8141014294596967E-2</v>
      </c>
      <c r="J45" s="77" t="s">
        <v>55</v>
      </c>
      <c r="K45" s="80" t="s">
        <v>55</v>
      </c>
    </row>
    <row r="46" spans="5:11" ht="16.2" thickBot="1" x14ac:dyDescent="0.35">
      <c r="E46" s="197"/>
      <c r="F46" s="198"/>
      <c r="G46" s="199"/>
      <c r="H46" s="198"/>
      <c r="I46" s="198"/>
      <c r="J46" s="200"/>
      <c r="K46" s="201"/>
    </row>
    <row r="47" spans="5:11" x14ac:dyDescent="0.3">
      <c r="E47" s="372" t="s">
        <v>383</v>
      </c>
      <c r="F47" s="179" t="s">
        <v>308</v>
      </c>
      <c r="G47" s="180">
        <f>SUM(G4,G6,G8,G10,G12,G14,G16,G18,G20,G22,G24,G26,G28,G30,G32,G34,G36,G38,G40,G42,G44)</f>
        <v>0.95628854729207724</v>
      </c>
      <c r="H47" s="181"/>
      <c r="I47" s="182">
        <f>(SUM(I4,I6,I8,I10,I12,I14,I16,I18,I20,I22,I24,I26,I28,I30,I32,I34,I36,I38,I40,I42,I44))/B4</f>
        <v>0.9237731888584696</v>
      </c>
      <c r="J47" s="183"/>
      <c r="K47" s="181"/>
    </row>
    <row r="48" spans="5:11" ht="16.2" thickBot="1" x14ac:dyDescent="0.35">
      <c r="E48" s="373"/>
      <c r="F48" s="178" t="s">
        <v>309</v>
      </c>
      <c r="G48" s="174">
        <f>SUM(G5,G7,G9,G11,G13,G15,G17,G19,G21,G23,G25,G27,G29,G31,G33,G35,G37,G39,G41,G43,G45)</f>
        <v>1.0338784986568397</v>
      </c>
      <c r="H48" s="177"/>
      <c r="I48" s="175">
        <f>(SUM(I5,I7,I9,I11,I13,I15,I17,I19,I21,I23,I25,I27,I29,I31,I33,I35,I37,I39,I41,I43,I45)/C4)</f>
        <v>1.0338784986568401</v>
      </c>
      <c r="J48" s="176"/>
      <c r="K48" s="177"/>
    </row>
  </sheetData>
  <sheetProtection algorithmName="SHA-512" hashValue="CbZe+WuTxlW9xZh6Q4RS+LUQYpM1/MbzQN47z6TcmB+l7qo8LZKSU1ELpF1OSKXqlY8e4BOHmuk3jSaITO/hDg==" saltValue="x9Y6aPFYRr12ClkpgHOlkQ==" spinCount="100000" sheet="1" objects="1" scenarios="1"/>
  <mergeCells count="28">
    <mergeCell ref="E47:E48"/>
    <mergeCell ref="A1:C1"/>
    <mergeCell ref="E1:K1"/>
    <mergeCell ref="F2:F3"/>
    <mergeCell ref="E2:E3"/>
    <mergeCell ref="E44:E45"/>
    <mergeCell ref="E42:E43"/>
    <mergeCell ref="E40:E41"/>
    <mergeCell ref="E30:E31"/>
    <mergeCell ref="E32:E33"/>
    <mergeCell ref="E34:E35"/>
    <mergeCell ref="E36:E37"/>
    <mergeCell ref="E38:E39"/>
    <mergeCell ref="E18:E19"/>
    <mergeCell ref="G2:H2"/>
    <mergeCell ref="E4:E5"/>
    <mergeCell ref="E6:E7"/>
    <mergeCell ref="E8:E9"/>
    <mergeCell ref="E10:E11"/>
    <mergeCell ref="I2:K2"/>
    <mergeCell ref="E12:E13"/>
    <mergeCell ref="E14:E15"/>
    <mergeCell ref="E16:E17"/>
    <mergeCell ref="E26:E27"/>
    <mergeCell ref="E28:E29"/>
    <mergeCell ref="E20:E21"/>
    <mergeCell ref="E22:E23"/>
    <mergeCell ref="E24:E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84"/>
  <sheetViews>
    <sheetView topLeftCell="B1" zoomScale="66" workbookViewId="0">
      <pane xSplit="3" topLeftCell="BW1" activePane="topRight" state="frozen"/>
      <selection activeCell="B1" sqref="B1"/>
      <selection pane="topRight" activeCell="CC5" sqref="CC5"/>
    </sheetView>
  </sheetViews>
  <sheetFormatPr baseColWidth="10" defaultColWidth="11.44140625" defaultRowHeight="13.2" x14ac:dyDescent="0.25"/>
  <cols>
    <col min="2" max="2" width="7.109375" bestFit="1" customWidth="1"/>
    <col min="3" max="3" width="22.88671875" style="49" customWidth="1"/>
    <col min="4" max="4" width="21" style="49" customWidth="1"/>
    <col min="5" max="11" width="21.88671875" customWidth="1"/>
    <col min="12" max="14" width="9.109375" style="49"/>
    <col min="15" max="15" width="9.109375"/>
    <col min="16" max="16" width="18.44140625" bestFit="1" customWidth="1"/>
    <col min="17" max="18" width="17.6640625" customWidth="1"/>
    <col min="19" max="19" width="18.33203125" customWidth="1"/>
    <col min="20" max="20" width="20" customWidth="1"/>
    <col min="21" max="21" width="21.6640625" customWidth="1"/>
    <col min="22" max="22" width="22.6640625" customWidth="1"/>
    <col min="23" max="23" width="14.6640625" bestFit="1" customWidth="1"/>
    <col min="24" max="25" width="13.6640625" bestFit="1" customWidth="1"/>
    <col min="27" max="28" width="18.44140625" customWidth="1"/>
    <col min="29" max="30" width="19" customWidth="1"/>
    <col min="35" max="35" width="18.44140625" customWidth="1"/>
    <col min="36" max="41" width="19" customWidth="1"/>
    <col min="42" max="42" width="9.109375"/>
    <col min="46" max="46" width="18.44140625" customWidth="1"/>
    <col min="47" max="53" width="19" customWidth="1"/>
    <col min="54" max="54" width="9.109375"/>
    <col min="58" max="60" width="19" customWidth="1"/>
    <col min="61" max="62" width="9.109375"/>
    <col min="65" max="71" width="19" customWidth="1"/>
    <col min="72" max="74" width="9.109375"/>
    <col min="76" max="77" width="18.44140625" customWidth="1"/>
    <col min="78" max="83" width="19" customWidth="1"/>
    <col min="84" max="86" width="9.109375" bestFit="1" customWidth="1"/>
    <col min="88" max="91" width="18.44140625" customWidth="1"/>
    <col min="92" max="98" width="19" customWidth="1"/>
    <col min="99" max="101" width="9.109375" bestFit="1" customWidth="1"/>
    <col min="103" max="109" width="19" customWidth="1"/>
    <col min="110" max="112" width="9.109375" bestFit="1" customWidth="1"/>
    <col min="114" max="116" width="19" customWidth="1"/>
    <col min="117" max="119" width="9.109375" bestFit="1" customWidth="1"/>
    <col min="121" max="121" width="18.44140625" customWidth="1"/>
    <col min="122" max="128" width="19" customWidth="1"/>
    <col min="129" max="131" width="9.109375" bestFit="1" customWidth="1"/>
    <col min="133" max="136" width="19" customWidth="1"/>
    <col min="137" max="139" width="9.109375" bestFit="1" customWidth="1"/>
    <col min="141" max="141" width="15.44140625" customWidth="1"/>
    <col min="142" max="147" width="19" customWidth="1"/>
    <col min="148" max="150" width="9.109375" bestFit="1" customWidth="1"/>
    <col min="152" max="152" width="19" customWidth="1"/>
    <col min="153" max="155" width="9.109375" bestFit="1" customWidth="1"/>
    <col min="157" max="157" width="14" customWidth="1"/>
    <col min="158" max="158" width="19" customWidth="1"/>
    <col min="159" max="161" width="9.109375" bestFit="1" customWidth="1"/>
    <col min="163" max="168" width="19" customWidth="1"/>
    <col min="169" max="171" width="9.109375" bestFit="1" customWidth="1"/>
    <col min="173" max="177" width="19" customWidth="1"/>
    <col min="178" max="180" width="9.109375" bestFit="1" customWidth="1"/>
    <col min="182" max="184" width="19" customWidth="1"/>
    <col min="185" max="187" width="9.109375" bestFit="1" customWidth="1"/>
    <col min="189" max="189" width="15.6640625" customWidth="1"/>
    <col min="190" max="192" width="19" customWidth="1"/>
    <col min="193" max="195" width="9.109375" bestFit="1" customWidth="1"/>
    <col min="197" max="198" width="19" customWidth="1"/>
    <col min="199" max="201" width="9.109375" bestFit="1" customWidth="1"/>
    <col min="203" max="203" width="19" customWidth="1"/>
    <col min="204" max="206" width="9.109375" bestFit="1" customWidth="1"/>
    <col min="208" max="208" width="19" customWidth="1"/>
    <col min="209" max="211" width="9.109375" bestFit="1" customWidth="1"/>
    <col min="213" max="214" width="19" customWidth="1"/>
    <col min="215" max="217" width="9.109375" bestFit="1" customWidth="1"/>
  </cols>
  <sheetData>
    <row r="1" spans="1:217" ht="20.100000000000001" customHeight="1" x14ac:dyDescent="0.4">
      <c r="B1" s="136" t="s">
        <v>351</v>
      </c>
      <c r="C1" s="139" t="s">
        <v>384</v>
      </c>
      <c r="D1" s="139" t="s">
        <v>385</v>
      </c>
      <c r="E1" s="395" t="s">
        <v>296</v>
      </c>
      <c r="F1" s="395"/>
      <c r="G1" s="395"/>
      <c r="H1" s="395"/>
      <c r="I1" s="395"/>
      <c r="J1" s="395"/>
      <c r="K1" s="395"/>
      <c r="L1" s="395"/>
      <c r="M1" s="395"/>
      <c r="N1" s="395"/>
      <c r="P1" s="396" t="s">
        <v>386</v>
      </c>
      <c r="Q1" s="396"/>
      <c r="R1" s="396"/>
      <c r="S1" s="396"/>
      <c r="T1" s="396"/>
      <c r="U1" s="396"/>
      <c r="V1" s="396"/>
      <c r="W1" s="396"/>
      <c r="X1" s="396"/>
      <c r="Y1" s="396"/>
      <c r="AA1" s="394" t="s">
        <v>86</v>
      </c>
      <c r="AB1" s="394"/>
      <c r="AC1" s="394"/>
      <c r="AD1" s="394"/>
      <c r="AE1" s="394"/>
      <c r="AF1" s="394"/>
      <c r="AG1" s="394"/>
      <c r="AI1" s="394" t="s">
        <v>387</v>
      </c>
      <c r="AJ1" s="394"/>
      <c r="AK1" s="394"/>
      <c r="AL1" s="394"/>
      <c r="AM1" s="394"/>
      <c r="AN1" s="394"/>
      <c r="AO1" s="394"/>
      <c r="AP1" s="394"/>
      <c r="AQ1" s="394"/>
      <c r="AR1" s="394"/>
      <c r="AT1" s="394" t="s">
        <v>388</v>
      </c>
      <c r="AU1" s="394"/>
      <c r="AV1" s="394"/>
      <c r="AW1" s="394"/>
      <c r="AX1" s="394"/>
      <c r="AY1" s="394"/>
      <c r="AZ1" s="394"/>
      <c r="BA1" s="394"/>
      <c r="BB1" s="394"/>
      <c r="BC1" s="394"/>
      <c r="BD1" s="394"/>
      <c r="BF1" s="394" t="s">
        <v>389</v>
      </c>
      <c r="BG1" s="394"/>
      <c r="BH1" s="394"/>
      <c r="BI1" s="394"/>
      <c r="BJ1" s="394"/>
      <c r="BK1" s="394"/>
      <c r="BM1" s="394" t="s">
        <v>390</v>
      </c>
      <c r="BN1" s="394"/>
      <c r="BO1" s="394"/>
      <c r="BP1" s="394"/>
      <c r="BQ1" s="394"/>
      <c r="BR1" s="394"/>
      <c r="BS1" s="394"/>
      <c r="BT1" s="394"/>
      <c r="BU1" s="394"/>
      <c r="BV1" s="394"/>
      <c r="BX1" s="386" t="s">
        <v>391</v>
      </c>
      <c r="BY1" s="386"/>
      <c r="BZ1" s="386"/>
      <c r="CA1" s="386"/>
      <c r="CB1" s="386"/>
      <c r="CC1" s="386"/>
      <c r="CD1" s="386"/>
      <c r="CE1" s="386"/>
      <c r="CF1" s="386"/>
      <c r="CG1" s="386"/>
      <c r="CH1" s="386"/>
      <c r="CJ1" s="386" t="s">
        <v>392</v>
      </c>
      <c r="CK1" s="386"/>
      <c r="CL1" s="386"/>
      <c r="CM1" s="386"/>
      <c r="CN1" s="386"/>
      <c r="CO1" s="386"/>
      <c r="CP1" s="386"/>
      <c r="CQ1" s="386"/>
      <c r="CR1" s="386"/>
      <c r="CS1" s="386"/>
      <c r="CT1" s="386"/>
      <c r="CU1" s="386"/>
      <c r="CV1" s="386"/>
      <c r="CW1" s="386"/>
      <c r="CY1" s="386" t="s">
        <v>393</v>
      </c>
      <c r="CZ1" s="386"/>
      <c r="DA1" s="386"/>
      <c r="DB1" s="386"/>
      <c r="DC1" s="386"/>
      <c r="DD1" s="386"/>
      <c r="DE1" s="386"/>
      <c r="DF1" s="386"/>
      <c r="DG1" s="386"/>
      <c r="DH1" s="386"/>
      <c r="DJ1" s="386" t="s">
        <v>394</v>
      </c>
      <c r="DK1" s="386"/>
      <c r="DL1" s="386"/>
      <c r="DM1" s="386"/>
      <c r="DN1" s="386"/>
      <c r="DO1" s="386"/>
      <c r="DQ1" s="386" t="s">
        <v>395</v>
      </c>
      <c r="DR1" s="386"/>
      <c r="DS1" s="386"/>
      <c r="DT1" s="386"/>
      <c r="DU1" s="386"/>
      <c r="DV1" s="386"/>
      <c r="DW1" s="386"/>
      <c r="DX1" s="386"/>
      <c r="DY1" s="386"/>
      <c r="DZ1" s="386"/>
      <c r="EA1" s="386"/>
      <c r="EC1" s="386" t="s">
        <v>396</v>
      </c>
      <c r="ED1" s="386"/>
      <c r="EE1" s="386"/>
      <c r="EF1" s="386"/>
      <c r="EG1" s="386"/>
      <c r="EH1" s="386"/>
      <c r="EI1" s="386"/>
      <c r="EK1" s="386" t="s">
        <v>397</v>
      </c>
      <c r="EL1" s="386"/>
      <c r="EM1" s="386"/>
      <c r="EN1" s="386"/>
      <c r="EO1" s="386"/>
      <c r="EP1" s="386"/>
      <c r="EQ1" s="386"/>
      <c r="ER1" s="386"/>
      <c r="ES1" s="386"/>
      <c r="ET1" s="386"/>
      <c r="EV1" s="386" t="s">
        <v>398</v>
      </c>
      <c r="EW1" s="386"/>
      <c r="EX1" s="386"/>
      <c r="EY1" s="386"/>
      <c r="FA1" s="386" t="s">
        <v>399</v>
      </c>
      <c r="FB1" s="386"/>
      <c r="FC1" s="386"/>
      <c r="FD1" s="386"/>
      <c r="FE1" s="386"/>
      <c r="FG1" s="386" t="s">
        <v>400</v>
      </c>
      <c r="FH1" s="386"/>
      <c r="FI1" s="386"/>
      <c r="FJ1" s="386"/>
      <c r="FK1" s="386"/>
      <c r="FL1" s="386"/>
      <c r="FM1" s="386"/>
      <c r="FN1" s="386"/>
      <c r="FO1" s="389"/>
      <c r="FQ1" s="386" t="s">
        <v>401</v>
      </c>
      <c r="FR1" s="386"/>
      <c r="FS1" s="386"/>
      <c r="FT1" s="386"/>
      <c r="FU1" s="386"/>
      <c r="FV1" s="386"/>
      <c r="FW1" s="386"/>
      <c r="FX1" s="389"/>
      <c r="FZ1" s="386" t="s">
        <v>402</v>
      </c>
      <c r="GA1" s="386"/>
      <c r="GB1" s="386"/>
      <c r="GC1" s="386"/>
      <c r="GD1" s="386"/>
      <c r="GE1" s="386"/>
      <c r="GG1" s="386" t="s">
        <v>403</v>
      </c>
      <c r="GH1" s="386"/>
      <c r="GI1" s="386"/>
      <c r="GJ1" s="386"/>
      <c r="GK1" s="386"/>
      <c r="GL1" s="386"/>
      <c r="GM1" s="386"/>
      <c r="GO1" s="381" t="s">
        <v>404</v>
      </c>
      <c r="GP1" s="381"/>
      <c r="GQ1" s="381"/>
      <c r="GR1" s="381"/>
      <c r="GS1" s="381"/>
      <c r="GU1" s="386" t="s">
        <v>405</v>
      </c>
      <c r="GV1" s="386"/>
      <c r="GW1" s="386"/>
      <c r="GX1" s="386"/>
      <c r="GZ1" s="386" t="s">
        <v>406</v>
      </c>
      <c r="HA1" s="386"/>
      <c r="HB1" s="386"/>
      <c r="HC1" s="386"/>
      <c r="HE1" s="381" t="s">
        <v>407</v>
      </c>
      <c r="HF1" s="381"/>
      <c r="HG1" s="381"/>
      <c r="HH1" s="381"/>
      <c r="HI1" s="381"/>
    </row>
    <row r="2" spans="1:217" ht="12.9" customHeight="1" x14ac:dyDescent="0.25">
      <c r="A2" t="s">
        <v>351</v>
      </c>
      <c r="C2" s="49" t="s">
        <v>42</v>
      </c>
      <c r="D2" s="49" t="s">
        <v>47</v>
      </c>
      <c r="E2" s="328" t="s">
        <v>62</v>
      </c>
      <c r="F2" s="399" t="s">
        <v>57</v>
      </c>
      <c r="G2" s="328" t="s">
        <v>65</v>
      </c>
      <c r="H2" s="328" t="s">
        <v>51</v>
      </c>
      <c r="I2" s="328" t="s">
        <v>64</v>
      </c>
      <c r="J2" s="399" t="s">
        <v>54</v>
      </c>
      <c r="K2" s="328" t="s">
        <v>59</v>
      </c>
      <c r="L2" s="397" t="s">
        <v>357</v>
      </c>
      <c r="M2" s="397" t="s">
        <v>408</v>
      </c>
      <c r="N2" s="397" t="s">
        <v>329</v>
      </c>
      <c r="P2" s="401" t="s">
        <v>62</v>
      </c>
      <c r="Q2" s="399" t="s">
        <v>69</v>
      </c>
      <c r="R2" s="399" t="s">
        <v>57</v>
      </c>
      <c r="S2" s="328" t="s">
        <v>65</v>
      </c>
      <c r="T2" s="328" t="s">
        <v>51</v>
      </c>
      <c r="U2" s="328" t="s">
        <v>64</v>
      </c>
      <c r="V2" s="399" t="s">
        <v>77</v>
      </c>
      <c r="W2" s="397" t="s">
        <v>357</v>
      </c>
      <c r="X2" s="397" t="s">
        <v>408</v>
      </c>
      <c r="Y2" s="397" t="s">
        <v>329</v>
      </c>
      <c r="AA2" s="392" t="s">
        <v>62</v>
      </c>
      <c r="AB2" s="390" t="s">
        <v>57</v>
      </c>
      <c r="AC2" s="392" t="s">
        <v>90</v>
      </c>
      <c r="AD2" s="392" t="s">
        <v>64</v>
      </c>
      <c r="AE2" s="393" t="s">
        <v>357</v>
      </c>
      <c r="AF2" s="393" t="s">
        <v>408</v>
      </c>
      <c r="AG2" s="393" t="s">
        <v>329</v>
      </c>
      <c r="AI2" s="392" t="s">
        <v>62</v>
      </c>
      <c r="AJ2" s="392" t="s">
        <v>57</v>
      </c>
      <c r="AK2" s="390" t="s">
        <v>64</v>
      </c>
      <c r="AL2" s="390" t="s">
        <v>102</v>
      </c>
      <c r="AM2" s="390" t="s">
        <v>94</v>
      </c>
      <c r="AN2" s="390" t="s">
        <v>77</v>
      </c>
      <c r="AO2" s="392" t="s">
        <v>59</v>
      </c>
      <c r="AP2" s="393" t="s">
        <v>357</v>
      </c>
      <c r="AQ2" s="393" t="s">
        <v>408</v>
      </c>
      <c r="AR2" s="393" t="s">
        <v>329</v>
      </c>
      <c r="AT2" s="392" t="s">
        <v>62</v>
      </c>
      <c r="AU2" s="390" t="s">
        <v>90</v>
      </c>
      <c r="AV2" s="390" t="s">
        <v>65</v>
      </c>
      <c r="AW2" s="390" t="s">
        <v>64</v>
      </c>
      <c r="AX2" s="390" t="s">
        <v>102</v>
      </c>
      <c r="AY2" s="390" t="s">
        <v>94</v>
      </c>
      <c r="AZ2" s="390" t="s">
        <v>77</v>
      </c>
      <c r="BA2" s="392" t="s">
        <v>59</v>
      </c>
      <c r="BB2" s="393" t="s">
        <v>357</v>
      </c>
      <c r="BC2" s="393" t="s">
        <v>408</v>
      </c>
      <c r="BD2" s="393" t="s">
        <v>329</v>
      </c>
      <c r="BF2" s="390" t="s">
        <v>90</v>
      </c>
      <c r="BG2" s="390" t="s">
        <v>94</v>
      </c>
      <c r="BH2" s="392" t="s">
        <v>59</v>
      </c>
      <c r="BI2" s="393" t="s">
        <v>357</v>
      </c>
      <c r="BJ2" s="393" t="s">
        <v>408</v>
      </c>
      <c r="BK2" s="393" t="s">
        <v>329</v>
      </c>
      <c r="BM2" s="390" t="s">
        <v>90</v>
      </c>
      <c r="BN2" s="390" t="s">
        <v>51</v>
      </c>
      <c r="BO2" s="390" t="s">
        <v>102</v>
      </c>
      <c r="BP2" s="390" t="s">
        <v>54</v>
      </c>
      <c r="BQ2" s="390" t="s">
        <v>94</v>
      </c>
      <c r="BR2" s="390" t="s">
        <v>77</v>
      </c>
      <c r="BS2" s="392" t="s">
        <v>59</v>
      </c>
      <c r="BT2" s="393" t="s">
        <v>357</v>
      </c>
      <c r="BU2" s="393" t="s">
        <v>408</v>
      </c>
      <c r="BV2" s="393" t="s">
        <v>329</v>
      </c>
      <c r="BX2" s="382" t="s">
        <v>57</v>
      </c>
      <c r="BY2" s="382" t="s">
        <v>65</v>
      </c>
      <c r="BZ2" s="382" t="s">
        <v>102</v>
      </c>
      <c r="CA2" s="382" t="s">
        <v>94</v>
      </c>
      <c r="CB2" s="382" t="s">
        <v>77</v>
      </c>
      <c r="CC2" s="382" t="s">
        <v>59</v>
      </c>
      <c r="CD2" s="382" t="s">
        <v>90</v>
      </c>
      <c r="CE2" s="387" t="s">
        <v>64</v>
      </c>
      <c r="CF2" s="384" t="s">
        <v>357</v>
      </c>
      <c r="CG2" s="384" t="s">
        <v>408</v>
      </c>
      <c r="CH2" s="384" t="s">
        <v>329</v>
      </c>
      <c r="CJ2" s="382" t="s">
        <v>62</v>
      </c>
      <c r="CK2" s="382" t="s">
        <v>57</v>
      </c>
      <c r="CL2" s="382" t="s">
        <v>90</v>
      </c>
      <c r="CM2" s="382" t="s">
        <v>77</v>
      </c>
      <c r="CN2" s="382" t="s">
        <v>65</v>
      </c>
      <c r="CO2" s="382" t="s">
        <v>51</v>
      </c>
      <c r="CP2" s="382" t="s">
        <v>64</v>
      </c>
      <c r="CQ2" s="382" t="s">
        <v>102</v>
      </c>
      <c r="CR2" s="382" t="s">
        <v>54</v>
      </c>
      <c r="CS2" s="382" t="s">
        <v>94</v>
      </c>
      <c r="CT2" s="387" t="s">
        <v>59</v>
      </c>
      <c r="CU2" s="384" t="s">
        <v>357</v>
      </c>
      <c r="CV2" s="384" t="s">
        <v>408</v>
      </c>
      <c r="CW2" s="384" t="s">
        <v>329</v>
      </c>
      <c r="CY2" s="382" t="s">
        <v>90</v>
      </c>
      <c r="CZ2" s="382" t="s">
        <v>65</v>
      </c>
      <c r="DA2" s="382" t="s">
        <v>64</v>
      </c>
      <c r="DB2" s="382" t="s">
        <v>102</v>
      </c>
      <c r="DC2" s="382" t="s">
        <v>94</v>
      </c>
      <c r="DD2" s="382" t="s">
        <v>77</v>
      </c>
      <c r="DE2" s="387" t="s">
        <v>59</v>
      </c>
      <c r="DF2" s="384" t="s">
        <v>357</v>
      </c>
      <c r="DG2" s="384" t="s">
        <v>408</v>
      </c>
      <c r="DH2" s="384" t="s">
        <v>329</v>
      </c>
      <c r="DJ2" s="382" t="s">
        <v>102</v>
      </c>
      <c r="DK2" s="382" t="s">
        <v>77</v>
      </c>
      <c r="DL2" s="387" t="s">
        <v>59</v>
      </c>
      <c r="DM2" s="384" t="s">
        <v>357</v>
      </c>
      <c r="DN2" s="384" t="s">
        <v>408</v>
      </c>
      <c r="DO2" s="384" t="s">
        <v>329</v>
      </c>
      <c r="DQ2" s="382" t="s">
        <v>90</v>
      </c>
      <c r="DR2" s="382" t="s">
        <v>51</v>
      </c>
      <c r="DS2" s="382" t="s">
        <v>64</v>
      </c>
      <c r="DT2" s="382" t="s">
        <v>102</v>
      </c>
      <c r="DU2" s="382" t="s">
        <v>54</v>
      </c>
      <c r="DV2" s="382" t="s">
        <v>94</v>
      </c>
      <c r="DW2" s="382" t="s">
        <v>77</v>
      </c>
      <c r="DX2" s="387" t="s">
        <v>59</v>
      </c>
      <c r="DY2" s="384" t="s">
        <v>357</v>
      </c>
      <c r="DZ2" s="384" t="s">
        <v>408</v>
      </c>
      <c r="EA2" s="385" t="s">
        <v>329</v>
      </c>
      <c r="EC2" s="382" t="s">
        <v>102</v>
      </c>
      <c r="ED2" s="382" t="s">
        <v>94</v>
      </c>
      <c r="EE2" s="382" t="s">
        <v>77</v>
      </c>
      <c r="EF2" s="387" t="s">
        <v>59</v>
      </c>
      <c r="EG2" s="384" t="s">
        <v>357</v>
      </c>
      <c r="EH2" s="384" t="s">
        <v>408</v>
      </c>
      <c r="EI2" s="385" t="s">
        <v>329</v>
      </c>
      <c r="EK2" s="382" t="s">
        <v>94</v>
      </c>
      <c r="EL2" s="382" t="s">
        <v>62</v>
      </c>
      <c r="EM2" s="382" t="s">
        <v>57</v>
      </c>
      <c r="EN2" s="382" t="s">
        <v>90</v>
      </c>
      <c r="EO2" s="382" t="s">
        <v>65</v>
      </c>
      <c r="EP2" s="382" t="s">
        <v>64</v>
      </c>
      <c r="EQ2" s="387" t="s">
        <v>102</v>
      </c>
      <c r="ER2" s="384" t="s">
        <v>357</v>
      </c>
      <c r="ES2" s="385" t="s">
        <v>408</v>
      </c>
      <c r="ET2" s="384" t="s">
        <v>329</v>
      </c>
      <c r="EV2" s="387" t="s">
        <v>77</v>
      </c>
      <c r="EW2" s="384" t="s">
        <v>357</v>
      </c>
      <c r="EX2" s="385" t="s">
        <v>408</v>
      </c>
      <c r="EY2" s="384" t="s">
        <v>329</v>
      </c>
      <c r="FA2" s="387" t="s">
        <v>54</v>
      </c>
      <c r="FB2" s="387" t="s">
        <v>77</v>
      </c>
      <c r="FC2" s="384" t="s">
        <v>357</v>
      </c>
      <c r="FD2" s="385" t="s">
        <v>408</v>
      </c>
      <c r="FE2" s="384" t="s">
        <v>329</v>
      </c>
      <c r="FG2" s="382" t="s">
        <v>90</v>
      </c>
      <c r="FH2" s="382" t="s">
        <v>64</v>
      </c>
      <c r="FI2" s="382" t="s">
        <v>102</v>
      </c>
      <c r="FJ2" s="382" t="s">
        <v>94</v>
      </c>
      <c r="FK2" s="382" t="s">
        <v>77</v>
      </c>
      <c r="FL2" s="387" t="s">
        <v>57</v>
      </c>
      <c r="FM2" s="384" t="s">
        <v>357</v>
      </c>
      <c r="FN2" s="385" t="s">
        <v>408</v>
      </c>
      <c r="FO2" s="384" t="s">
        <v>329</v>
      </c>
      <c r="FQ2" s="382" t="s">
        <v>90</v>
      </c>
      <c r="FR2" s="382" t="s">
        <v>94</v>
      </c>
      <c r="FS2" s="382" t="s">
        <v>54</v>
      </c>
      <c r="FT2" s="382" t="s">
        <v>94</v>
      </c>
      <c r="FU2" s="382" t="s">
        <v>77</v>
      </c>
      <c r="FV2" s="384" t="s">
        <v>357</v>
      </c>
      <c r="FW2" s="385" t="s">
        <v>408</v>
      </c>
      <c r="FX2" s="384" t="s">
        <v>329</v>
      </c>
      <c r="FZ2" s="382" t="s">
        <v>102</v>
      </c>
      <c r="GA2" s="382" t="s">
        <v>94</v>
      </c>
      <c r="GB2" s="382" t="s">
        <v>77</v>
      </c>
      <c r="GC2" s="384" t="s">
        <v>357</v>
      </c>
      <c r="GD2" s="385" t="s">
        <v>408</v>
      </c>
      <c r="GE2" s="384" t="s">
        <v>329</v>
      </c>
      <c r="GG2" s="382" t="s">
        <v>54</v>
      </c>
      <c r="GH2" s="382" t="s">
        <v>90</v>
      </c>
      <c r="GI2" s="382" t="s">
        <v>94</v>
      </c>
      <c r="GJ2" s="382" t="s">
        <v>77</v>
      </c>
      <c r="GK2" s="384" t="s">
        <v>357</v>
      </c>
      <c r="GL2" s="385" t="s">
        <v>408</v>
      </c>
      <c r="GM2" s="384" t="s">
        <v>329</v>
      </c>
      <c r="GO2" s="382" t="s">
        <v>94</v>
      </c>
      <c r="GP2" s="382" t="s">
        <v>77</v>
      </c>
      <c r="GQ2" s="384" t="s">
        <v>357</v>
      </c>
      <c r="GR2" s="385" t="s">
        <v>408</v>
      </c>
      <c r="GS2" s="384" t="s">
        <v>329</v>
      </c>
      <c r="GU2" s="387" t="s">
        <v>77</v>
      </c>
      <c r="GV2" s="384" t="s">
        <v>357</v>
      </c>
      <c r="GW2" s="385" t="s">
        <v>408</v>
      </c>
      <c r="GX2" s="384" t="s">
        <v>329</v>
      </c>
      <c r="GZ2" s="387" t="s">
        <v>102</v>
      </c>
      <c r="HA2" s="384" t="s">
        <v>357</v>
      </c>
      <c r="HB2" s="385" t="s">
        <v>408</v>
      </c>
      <c r="HC2" s="384" t="s">
        <v>329</v>
      </c>
      <c r="HE2" s="382" t="s">
        <v>51</v>
      </c>
      <c r="HF2" s="382" t="s">
        <v>54</v>
      </c>
      <c r="HG2" s="384" t="s">
        <v>357</v>
      </c>
      <c r="HH2" s="385" t="s">
        <v>408</v>
      </c>
      <c r="HI2" s="384" t="s">
        <v>329</v>
      </c>
    </row>
    <row r="3" spans="1:217" ht="25.5" customHeight="1" x14ac:dyDescent="0.25">
      <c r="E3" s="328"/>
      <c r="F3" s="400"/>
      <c r="G3" s="328"/>
      <c r="H3" s="328"/>
      <c r="I3" s="328"/>
      <c r="J3" s="400"/>
      <c r="K3" s="328"/>
      <c r="L3" s="397"/>
      <c r="M3" s="397"/>
      <c r="N3" s="397"/>
      <c r="P3" s="402"/>
      <c r="Q3" s="403"/>
      <c r="R3" s="400"/>
      <c r="S3" s="399"/>
      <c r="T3" s="399"/>
      <c r="U3" s="399"/>
      <c r="V3" s="403"/>
      <c r="W3" s="398"/>
      <c r="X3" s="398"/>
      <c r="Y3" s="398"/>
      <c r="AA3" s="392"/>
      <c r="AB3" s="391"/>
      <c r="AC3" s="392"/>
      <c r="AD3" s="392"/>
      <c r="AE3" s="393"/>
      <c r="AF3" s="393"/>
      <c r="AG3" s="393"/>
      <c r="AI3" s="392"/>
      <c r="AJ3" s="392"/>
      <c r="AK3" s="391"/>
      <c r="AL3" s="391"/>
      <c r="AM3" s="391"/>
      <c r="AN3" s="391"/>
      <c r="AO3" s="392"/>
      <c r="AP3" s="393"/>
      <c r="AQ3" s="393"/>
      <c r="AR3" s="393"/>
      <c r="AT3" s="392"/>
      <c r="AU3" s="391"/>
      <c r="AV3" s="391"/>
      <c r="AW3" s="391"/>
      <c r="AX3" s="391"/>
      <c r="AY3" s="391"/>
      <c r="AZ3" s="391"/>
      <c r="BA3" s="392"/>
      <c r="BB3" s="393"/>
      <c r="BC3" s="393"/>
      <c r="BD3" s="393"/>
      <c r="BF3" s="391"/>
      <c r="BG3" s="391"/>
      <c r="BH3" s="392"/>
      <c r="BI3" s="393"/>
      <c r="BJ3" s="393"/>
      <c r="BK3" s="393"/>
      <c r="BM3" s="391"/>
      <c r="BN3" s="391"/>
      <c r="BO3" s="391"/>
      <c r="BP3" s="391"/>
      <c r="BQ3" s="391"/>
      <c r="BR3" s="391"/>
      <c r="BS3" s="392"/>
      <c r="BT3" s="393"/>
      <c r="BU3" s="393"/>
      <c r="BV3" s="393"/>
      <c r="BX3" s="388"/>
      <c r="BY3" s="388"/>
      <c r="BZ3" s="388"/>
      <c r="CA3" s="388"/>
      <c r="CB3" s="388"/>
      <c r="CC3" s="388"/>
      <c r="CD3" s="388"/>
      <c r="CE3" s="387"/>
      <c r="CF3" s="384"/>
      <c r="CG3" s="384"/>
      <c r="CH3" s="384"/>
      <c r="CJ3" s="388"/>
      <c r="CK3" s="388"/>
      <c r="CL3" s="388"/>
      <c r="CM3" s="388"/>
      <c r="CN3" s="388"/>
      <c r="CO3" s="388"/>
      <c r="CP3" s="388"/>
      <c r="CQ3" s="388"/>
      <c r="CR3" s="388"/>
      <c r="CS3" s="388"/>
      <c r="CT3" s="387"/>
      <c r="CU3" s="384"/>
      <c r="CV3" s="384"/>
      <c r="CW3" s="384"/>
      <c r="CY3" s="388"/>
      <c r="CZ3" s="388"/>
      <c r="DA3" s="388"/>
      <c r="DB3" s="388"/>
      <c r="DC3" s="388"/>
      <c r="DD3" s="388"/>
      <c r="DE3" s="387"/>
      <c r="DF3" s="384"/>
      <c r="DG3" s="384"/>
      <c r="DH3" s="384"/>
      <c r="DJ3" s="388"/>
      <c r="DK3" s="388"/>
      <c r="DL3" s="387"/>
      <c r="DM3" s="384"/>
      <c r="DN3" s="384"/>
      <c r="DO3" s="384"/>
      <c r="DQ3" s="388"/>
      <c r="DR3" s="388"/>
      <c r="DS3" s="388"/>
      <c r="DT3" s="388"/>
      <c r="DU3" s="388"/>
      <c r="DV3" s="388"/>
      <c r="DW3" s="388"/>
      <c r="DX3" s="387"/>
      <c r="DY3" s="384"/>
      <c r="DZ3" s="384"/>
      <c r="EA3" s="384"/>
      <c r="EC3" s="388"/>
      <c r="ED3" s="388"/>
      <c r="EE3" s="388"/>
      <c r="EF3" s="387"/>
      <c r="EG3" s="384"/>
      <c r="EH3" s="384"/>
      <c r="EI3" s="384"/>
      <c r="EK3" s="388"/>
      <c r="EL3" s="388"/>
      <c r="EM3" s="388"/>
      <c r="EN3" s="388"/>
      <c r="EO3" s="388"/>
      <c r="EP3" s="388"/>
      <c r="EQ3" s="387"/>
      <c r="ER3" s="384"/>
      <c r="ES3" s="385"/>
      <c r="ET3" s="384"/>
      <c r="EV3" s="387"/>
      <c r="EW3" s="384"/>
      <c r="EX3" s="385"/>
      <c r="EY3" s="384"/>
      <c r="FA3" s="387"/>
      <c r="FB3" s="387"/>
      <c r="FC3" s="384"/>
      <c r="FD3" s="385"/>
      <c r="FE3" s="384"/>
      <c r="FG3" s="388"/>
      <c r="FH3" s="388"/>
      <c r="FI3" s="388"/>
      <c r="FJ3" s="388"/>
      <c r="FK3" s="388"/>
      <c r="FL3" s="387"/>
      <c r="FM3" s="384"/>
      <c r="FN3" s="385"/>
      <c r="FO3" s="384"/>
      <c r="FQ3" s="388"/>
      <c r="FR3" s="388"/>
      <c r="FS3" s="388"/>
      <c r="FT3" s="388"/>
      <c r="FU3" s="388"/>
      <c r="FV3" s="384"/>
      <c r="FW3" s="385"/>
      <c r="FX3" s="384"/>
      <c r="FZ3" s="388"/>
      <c r="GA3" s="388"/>
      <c r="GB3" s="388"/>
      <c r="GC3" s="384"/>
      <c r="GD3" s="385"/>
      <c r="GE3" s="384"/>
      <c r="GG3" s="383"/>
      <c r="GH3" s="383"/>
      <c r="GI3" s="383"/>
      <c r="GJ3" s="383"/>
      <c r="GK3" s="384"/>
      <c r="GL3" s="385"/>
      <c r="GM3" s="384"/>
      <c r="GO3" s="383"/>
      <c r="GP3" s="383"/>
      <c r="GQ3" s="384"/>
      <c r="GR3" s="385"/>
      <c r="GS3" s="384"/>
      <c r="GU3" s="387"/>
      <c r="GV3" s="384"/>
      <c r="GW3" s="385"/>
      <c r="GX3" s="384"/>
      <c r="GZ3" s="387"/>
      <c r="HA3" s="384"/>
      <c r="HB3" s="385"/>
      <c r="HC3" s="384"/>
      <c r="HE3" s="383"/>
      <c r="HF3" s="383"/>
      <c r="HG3" s="384"/>
      <c r="HH3" s="385"/>
      <c r="HI3" s="384"/>
    </row>
    <row r="4" spans="1:217" ht="17.100000000000001" customHeight="1" x14ac:dyDescent="0.25">
      <c r="B4">
        <v>0</v>
      </c>
      <c r="C4" s="124">
        <f>3.938425 + 0.7518199*B4*12 - 0.02023793*(B4*12)^2 + 0.0002921682*(B4*12)^3 - 0.00000206762*(B4*12)^4 + 0.000000008469*(B4*12)^5 - 0.00000000002188427*(B4*12)^6 + 3.699776E-14*(B4*12)^7 - 4.099077E-17*(B4*12)^8 + 2.874804E-20*(B4*12)^9 - 1.159732E-23*(B4*12)^10 + 2.052602E-27*(B4*12)^11</f>
        <v>3.9384250000000001</v>
      </c>
      <c r="D4" s="124">
        <f>64.35+0.8146*B4*12 - 0.0007474*(B4*12)^2 - 0.000006322*(B4*12)^3 + 0.00000001903*(B4*12)^4 - 0.00000000001995*(B4*12)^5 + 0.000000000000007297*(B4*12)^6</f>
        <v>64.349999999999994</v>
      </c>
      <c r="E4" s="29">
        <f>EXP(-3.75+0.42*LN(C4)+0.52*LN(D4))</f>
        <v>0.36465017214277462</v>
      </c>
      <c r="F4" s="29">
        <f>(C4^0.515 *  D4^0.422 * 235) / 10000</f>
        <v>0.27597292673677082</v>
      </c>
      <c r="G4" s="29">
        <f>0.007184 * C4^0.425 * D4^0.725</f>
        <v>0.26337595272519793</v>
      </c>
      <c r="H4" s="29">
        <f>(C4^0.515 * D4^0.422) * 234.9 / 10000</f>
        <v>0.27585549144879773</v>
      </c>
      <c r="I4" s="29">
        <f>EXP(-3.75 + 0.42 * LN(D4) + 0.52 * LN(C4))</f>
        <v>0.27577432213675535</v>
      </c>
      <c r="J4" s="29">
        <f>C4^0.515 * D4^0.422 * 0.02349</f>
        <v>0.27585549144879773</v>
      </c>
      <c r="K4" s="29">
        <f>IF(B4 &lt; 18,  (0.024265*C4^0.5378) * (D4^0.3964), SQRT(C4*D4/3600))</f>
        <v>0.26427338326811245</v>
      </c>
      <c r="L4" s="125">
        <f t="shared" ref="L4:L67" si="0">AVERAGE(E4:K4)</f>
        <v>0.28510824855817235</v>
      </c>
      <c r="M4" s="126">
        <f t="shared" ref="M4:M67" si="1">STDEV(E4:K4)</f>
        <v>3.5531922775716554E-2</v>
      </c>
      <c r="N4" s="126">
        <f>(M4/L4)*100</f>
        <v>12.462607783326465</v>
      </c>
      <c r="P4" s="138">
        <f xml:space="preserve"> AVERAGE(E4:K4) * 3.5 * 60</f>
        <v>59.872732197216195</v>
      </c>
      <c r="Q4" s="138">
        <f>IF(B4&lt; 18, 0.012 * B4^3 - 1.2144 * B4^2 + 40.324 * B4 + 44.414, 325.7924)</f>
        <v>44.414000000000001</v>
      </c>
      <c r="R4" s="138">
        <f>3.5 * AVERAGE(E4:K4) * 60</f>
        <v>59.872732197216195</v>
      </c>
      <c r="S4" s="138">
        <f>5.528076 - 2.834486 *B4 + 0.012591 *B4^2 + 204.262351 * AVERAGE(E4:K4)+ 19.27429 *AVERAGE(E4:K4)^2</f>
        <v>65.331700827124266</v>
      </c>
      <c r="T4" s="138">
        <f>(0.2508 * C4^0.7815) * 60</f>
        <v>43.926174090755609</v>
      </c>
      <c r="U4" s="138">
        <f>AVERAGE(E4:K4) * 3.5 * 60</f>
        <v>59.872732197216195</v>
      </c>
      <c r="V4" s="138">
        <f>IF(B4 &lt;= 16.027, (7.734 + (0.6 - 7.734) * EXP(-0.09747 *B4))*60, (0.000473 * B4^2 - 0.0782 * B4 + 7.37)*60 )</f>
        <v>35.999999999999979</v>
      </c>
      <c r="W4" s="138">
        <f>AVERAGE(P4:V4)</f>
        <v>52.755724501361208</v>
      </c>
      <c r="X4" s="138">
        <f>STDEV(P4:V4)</f>
        <v>11.093618344573004</v>
      </c>
      <c r="Y4" s="138">
        <f>(X4/W4)*100</f>
        <v>21.028274086704592</v>
      </c>
      <c r="AA4" s="227">
        <f>IF(B4 &lt; 2, 0.359, (0.00000112815 * B4^3) - (0.000172362 * B4^2) + (0.00815264 * B4) + 0.327363)</f>
        <v>0.35899999999999999</v>
      </c>
      <c r="AB4" s="227">
        <f>IF(B4 &lt; 1, 0.355109, 0.3475 + (0.07 * B4) / (8.2 + B4))</f>
        <v>0.35510900000000001</v>
      </c>
      <c r="AC4" s="227">
        <f>IF(B4&lt;18,(-0.1*(B4*365.25*24)^(0.00000000000966))-0.1*(B4*365.25*24)^0.00000155+0.00000055*B4*365.25*24+0.58,0.47)</f>
        <v>0.57999999999999996</v>
      </c>
      <c r="AD4" s="227">
        <f>IF(B4 &lt; 2, 0.359, (0.00000112815 * B4^3) - (0.000172362 * B4^2) + (0.00815264 * B4) + 0.327363)</f>
        <v>0.35899999999999999</v>
      </c>
      <c r="AE4" s="227">
        <f>AVERAGE(AA4:AD4)</f>
        <v>0.41327724999999998</v>
      </c>
      <c r="AF4" s="227">
        <f>STDEV(AA4:AD4)</f>
        <v>0.11116363375785275</v>
      </c>
      <c r="AG4" s="227">
        <f>(AF4/AE4)*100</f>
        <v>26.898077200681325</v>
      </c>
      <c r="AI4" s="228">
        <f>(10^(1.2082*LOG10(AVERAGE(E4:K4))+3.2869)/1000)</f>
        <v>0.42505273878821304</v>
      </c>
      <c r="AJ4" s="228">
        <f>(10^(1.2082*LOG10(AVERAGE(E4:K4))+3.2869)/1000)</f>
        <v>0.42505273878821304</v>
      </c>
      <c r="AK4" s="228">
        <f>(10^(1.2082*LOG10(AVERAGE(E4:K4))+3.2869)/1000)</f>
        <v>0.42505273878821304</v>
      </c>
      <c r="AL4" s="228">
        <f>(0.0897 - 0.00000035 *C4 + 0.000000000000654 * C4^2) * C4</f>
        <v>0.35327129362293441</v>
      </c>
      <c r="AM4" s="228">
        <f>IF(B4 &lt; 18, (0.0018 * B4^5 + 0.0959 * B4^4 - 4.4055 * B4^3 + 45.442 * B4^2 + 82.808 * B4 + 292.26) / 1000, 4.28)</f>
        <v>0.29225999999999996</v>
      </c>
      <c r="AN4" s="228">
        <f>IF(B4 &lt;= 1, (-0.0273 * B4 + 0.0771) * C4, IF(B4 &lt; 14.019723, (0.0000328 * B4^3 - 0.00121 * B4^2 + 0.0124 * B4 + 0.0386) *C4,0.065 * C4))</f>
        <v>0.30365256750000003</v>
      </c>
      <c r="AO4" s="228">
        <f>(2.66 * AVERAGE(E4:K4) - 0.46) / 1.06</f>
        <v>0.28149805770258346</v>
      </c>
      <c r="AP4" s="228">
        <f>AVERAGE(AI4:AO4)</f>
        <v>0.35797716217002246</v>
      </c>
      <c r="AQ4" s="228">
        <f>STDEV(AI4:AO4)</f>
        <v>6.6631454715040686E-2</v>
      </c>
      <c r="AR4" s="228">
        <f>(AQ4/AP4)*100</f>
        <v>18.613325585109212</v>
      </c>
      <c r="AT4" s="229">
        <f>10 * (B4 + 0.315)/(9+6.92 * B4)</f>
        <v>0.35</v>
      </c>
      <c r="AU4" s="229">
        <f>IF(B4 &lt; 18,  (-0.0503 * B4*365.25*24 + 0.907 *  (B4*365.25*24)^(0.769) + 0.0395) / 1000, 1.47)</f>
        <v>3.9499999999999998E-5</v>
      </c>
      <c r="AV4" s="229">
        <f>0.3757397 - 0.0003031 * B4 - 0.0021962 * C4 + 0.0065721 * D4</f>
        <v>0.79000476601500003</v>
      </c>
      <c r="AW4" s="229">
        <f>10 * (B4 + 0.315)/(9+6.92 * B4)</f>
        <v>0.35</v>
      </c>
      <c r="AX4" s="229">
        <f>(0.1216 - 0.000003456 * C4*1000 + 0.00000000004354 * (C4*1000)^2 - 0.0000000000000002463 * (C4*1000)^3 + 5.132E-22 * (C4*1000)^4) * B4</f>
        <v>0</v>
      </c>
      <c r="AY4" s="229">
        <f>IF(B4 &lt; 18, 10 * (B4 + 0.226) / (6.521 + 7.514 * B4), 1.3)</f>
        <v>0.3465726115626438</v>
      </c>
      <c r="AZ4" s="229">
        <f>1.3 + (0.347 - 1.3) * EXP(-0.573 * B4)</f>
        <v>0.34699999999999998</v>
      </c>
      <c r="BA4" s="229">
        <f>(0.373 * ((3.68 - 2.68 * EXP(-B4/0.89)) * EXP(-B4/629))) / 1.03</f>
        <v>0.36213592233009706</v>
      </c>
      <c r="BB4" s="229">
        <f>AVERAGE(AT4:BA4)</f>
        <v>0.31821909998846759</v>
      </c>
      <c r="BC4" s="229">
        <f>STDEV(AT4:BA4)</f>
        <v>0.24803927351303623</v>
      </c>
      <c r="BD4" s="229">
        <f>(BC4/BB4)*100</f>
        <v>77.946067197734294</v>
      </c>
      <c r="BF4" s="230">
        <f>IF(B4 &lt; 18, (0.0597 * B4*365.25*24 + 0.907 * (B4*365.25*24)^(0.769) + 395) / 1000, 11.73)</f>
        <v>0.39500000000000002</v>
      </c>
      <c r="BG4" s="230">
        <f>IF(B4 &lt; 18, (-0.002831 * B4^5 - 0.18184 * B4^4 + 10.685 * B4^3 - 142.88 * B4^2 + 782.05 * B4 + 609.64) / 1000, 6.27)</f>
        <v>0.60963999999999996</v>
      </c>
      <c r="BH4" s="230">
        <f>IF(B4 &lt; 50, (0.74042 + (2.14976 - 0.74042) / (1 + EXP(12.35466 - B4) / 1.58179)) / 0.65 / 0.5,  (0.74042 + (2.14976 - 0.74042) / (1 + EXP(12.35466 - B4) / 1.58179) - (0.0056 * B4)) / 0.65 / 0.5)</f>
        <v>2.2782449455130913</v>
      </c>
      <c r="BI4" s="230">
        <f t="shared" ref="BI4:BI35" si="2">AVERAGE(BF4:BH4)</f>
        <v>1.094294981837697</v>
      </c>
      <c r="BJ4" s="230">
        <f t="shared" ref="BJ4:BJ35" si="3">STDEV(BF4:BH4)</f>
        <v>1.0309319666036287</v>
      </c>
      <c r="BK4" s="230">
        <f>(BJ4/BI4)*100</f>
        <v>94.209695165771478</v>
      </c>
      <c r="BM4" s="227">
        <f>IF(B4 &lt; 18,  (1.26*10^(-1) * (B4* 365.25 * 24) + 7.76*10^(-6) * (B4 * 365.25 * 24)^(1.76) + 9.5*10^(-2))/1000,31.73)</f>
        <v>9.5000000000000005E-5</v>
      </c>
      <c r="BN4" s="227">
        <f>IF(B4 &lt; 3, 0.09563 * C4 + 0.0165 * D4 + 0.09102 * B4 - 0.1642, IF(B4 &lt; 18, 0.1629 * C4 + 0.02603 * D4 + 0.4661 * B4 - 3.332, 6.78 * AVERAGE(E4:K4)^1.629 - 0.001492 * B4 + 3.58))</f>
        <v>1.2742065827499998</v>
      </c>
      <c r="BO4" s="227">
        <f>(0.1251 + 0.00001458 * (C4*1000) - 0.0000000002927 *(C4*1000)^2 + 0.000000000000002114 * (C4*1000)^3 - 5.25E-21 * (C4*1000)^4) * C4</f>
        <v>0.7014728419713252</v>
      </c>
      <c r="BP4" s="227">
        <f>IF(B4 &lt; 3, 0.09563 * C4 + 0.0165 * D4 + 0.09102 * B4 - 0.1642, IF(B4 &lt; 18, 0.1629 * C4 + 0.02603 * D4 + 0.4661 * B4 - 3.332, 6.78 * AVERAGE(E4:K4)^1.629 - 0.001492 * B4 + 3.58))</f>
        <v>1.2742065827499998</v>
      </c>
      <c r="BQ4" s="227">
        <f>IF(B4 &lt; 18, (0.015 * B4^6 - 0.8155*B4^5 + 15.849*B4^4 - 134.99 * B4^3 + 549.43 * B4^2 - 530.65 * B4+ 958.87) / 1040, 15.17)</f>
        <v>0.92199038461538463</v>
      </c>
      <c r="BR4" s="227">
        <f>IF(B4 &lt;= 25.90709, (0.2917 + (0.207 - 0.2917) * EXP(-0.339 * B4)) * C4, (0.2917 + (0.207 - 0.2917) * EXP(-0.339 * B4)) * (-0.0001264 * B4^2 + 0.006131 * B4 + 0.926) * C4 )</f>
        <v>0.81525397499999996</v>
      </c>
      <c r="BS4" s="227">
        <f>IF(B4 &lt; 19, (7 /(1 + (6.5 * EXP(-0.55 * B4)))) + (13 / (1 + EXP(-0.75 * (B4 - 11.5)))), 19.95)</f>
        <v>0.93566719693484146</v>
      </c>
      <c r="BT4" s="227">
        <f t="shared" ref="BT4:BT35" si="4">AVERAGE(BM4:BS4)</f>
        <v>0.84612750914593593</v>
      </c>
      <c r="BU4" s="227">
        <f t="shared" ref="BU4:BU35" si="5">STDEV(BM4:BS4)</f>
        <v>0.43164898402465091</v>
      </c>
      <c r="BV4" s="227">
        <f>(BU4/BT4)*100</f>
        <v>51.014649607639953</v>
      </c>
      <c r="BX4" s="231">
        <f>IF(B4 &lt;= 12, 0.02053*D4/100*(C4^0.5+0.01266), 0.0154+0.00204*C4 + 0.0518*(D4/100)^2*(0.02053*(D4/100)*C4^0.5+0.01266)/(0.0154 + 0.00204 *C4+0.0518*(D4/100)^2) )</f>
        <v>2.63852055480648E-2</v>
      </c>
      <c r="BY4" s="231">
        <f>0.0458676 - 0.0003957 * B4 + 0.0035115 * C4</f>
        <v>5.9697379387499999E-2</v>
      </c>
      <c r="BZ4" s="231">
        <f>(0.00726 - 0.0000000669 * (C4*1000) + 0.000000000000333 * (C4*1000)^2) * C4</f>
        <v>2.7575609648160443E-2</v>
      </c>
      <c r="CA4" s="231">
        <f>IF(B4 &lt; 18, (0.0012676 * B4^5 - 0.066825 * B4^4 + 1.2345 * B4^3 - 9.4597 * B4^2 + 39.005 * B4 + 27.161)/1050, 0.24)</f>
        <v>2.5867619047619049E-2</v>
      </c>
      <c r="CB4" s="231">
        <f>(0.0046 + (0.00709 - 0.0046) * EXP(-0.221 * B4))  * C4</f>
        <v>2.7923433250000001E-2</v>
      </c>
      <c r="CC4" s="231">
        <f>(10.65 * D4/100 * SQRT(C4 + 6.11) + (9.88 * D4/100 * SQRT(C4) + 6.55)) / 1050</f>
        <v>3.8944455846515902E-2</v>
      </c>
      <c r="CD4" s="231">
        <f>IF(B4 &lt; 18, (3.17*10^(-2) * (B4*365.25*24) + 1.44*10^(-2) * (B4*365.25*24)^(1.06) + 38) / 20000, 0.48)</f>
        <v>1.9E-3</v>
      </c>
      <c r="CE4" s="231">
        <f>EXP(-2.306 * ((D4/100)^(-1.93)))</f>
        <v>4.5184435299772743E-3</v>
      </c>
      <c r="CF4" s="231">
        <f>AVERAGE(BX4:CE4)</f>
        <v>2.6601518282229682E-2</v>
      </c>
      <c r="CG4" s="231">
        <f>STDEV(BX4:CE4)</f>
        <v>1.8317801795883177E-2</v>
      </c>
      <c r="CH4" s="231">
        <f t="shared" ref="CH4:CH35" si="6">(CG4/CF4)*100</f>
        <v>68.859986116355671</v>
      </c>
      <c r="CJ4" s="232">
        <f>IF(B4 &lt;= 22, 0.05012*C4^0.78, (1.07828 * AVERAGE(E4:K4) - 0.3457) * (0.05012*61.91^0.78 / (1.0728 * 1.73 - 0.3457)) )</f>
        <v>0.1460033008247745</v>
      </c>
      <c r="CK4" s="232">
        <f>IF(B4 &lt;= 22, 0.05012*C4^0.78, (1.07828 * AVERAGE(E4:K4) - 0.3457) * (0.05012*61.91^0.78 / (1.0728 * 1.73 - 0.3457)) )</f>
        <v>0.1460033008247745</v>
      </c>
      <c r="CL4" s="232">
        <f>IF(B4 &lt; 18, (2.79*10^-3 * (B4*365.25*24) + 1.1 * (B4*365.25*24)^(6.03*10^-1) + 1.6*10^2) / 1000, 2.1)</f>
        <v>0.16</v>
      </c>
      <c r="CM4" s="232">
        <f>(0.0233 + (0.038 - 0.0233) * EXP(-0.122 * B4)) * C4</f>
        <v>0.14966014999999999</v>
      </c>
      <c r="CN4" s="232">
        <f>0.0017717 - 0.0030113 *B4 + 0.0253455 * C4</f>
        <v>0.1015930508375</v>
      </c>
      <c r="CO4" s="232">
        <f>0.05012 * C4^0.78</f>
        <v>0.1460033008247745</v>
      </c>
      <c r="CP4" s="232">
        <f>IF(B4 &lt;= 22, 0.05012*C4^0.78, (1.07828 * AVERAGE(E4:K4) - 0.3457) * (0.05012*61.96^0.78 / (1.0728 * 1.73 - 0.3457)) )</f>
        <v>0.1460033008247745</v>
      </c>
      <c r="CQ4" s="232">
        <f>(3.939*10^(-2) - 7.058*10^(-7) * C4*1000 + 1.155*10^(-11) * (C4* 1000)^2 - 8.016*10^(-17) * (C4 * 1000)^3 + 1.869*10^(-22) * (C4 * 1000)^4) * C4</f>
        <v>0.14487323826678353</v>
      </c>
      <c r="CR4" s="232">
        <f>0.0501 * C4</f>
        <v>0.19731509250000001</v>
      </c>
      <c r="CS4" s="232">
        <f>IF(B4 &lt; 18, (0.0057 * B4^5 - 0.3396 * B4^4 + 7.0134 * B4^3 - 59.539 * B4^2 + 251.9 * B4 + 139.65) / 1050, 1.41)</f>
        <v>0.13300000000000001</v>
      </c>
      <c r="CT4" s="232">
        <f>(674.3 * D4/100 + 6.5 * C4 - 214.4) / 1050</f>
        <v>0.23343982142857139</v>
      </c>
      <c r="CU4" s="232">
        <f>AVERAGE(CJ4:CT4)</f>
        <v>0.15489950512108663</v>
      </c>
      <c r="CV4" s="232">
        <f>STDEV(CJ4:CT4)</f>
        <v>3.4291969106293507E-2</v>
      </c>
      <c r="CW4" s="232">
        <f t="shared" ref="CW4:CW35" si="7">(CV4/CU4)*100</f>
        <v>22.138204430987109</v>
      </c>
      <c r="CY4" s="229">
        <f t="shared" ref="CY4:CY35" si="8">IF(B4&lt; 18, (9.74*10^(-2) * (B4*365.25*24) + 6.33*10^(-2) * (B4 * 365.25*24)^(9.98*10^-1) + 3.8*10^1) / 25000, 1.19)</f>
        <v>1.5200000000000001E-3</v>
      </c>
      <c r="CZ4" s="229">
        <f t="shared" ref="CZ4:CZ35" si="9">-1.454*10^(-2) + 7.269*10^(-4) * B4 + 9.329*10^(-6) * B4^2 + 6.43*10^(-3) * C4 + 3.083*10^-5 * C4^2</f>
        <v>1.1262282783347668E-2</v>
      </c>
      <c r="DA4" s="229">
        <f t="shared" ref="DA4:DA35" si="10">EXP(-2.092 * ((D4/100)^(-2.1)))</f>
        <v>5.0939292379693739E-3</v>
      </c>
      <c r="DB4" s="229">
        <f t="shared" ref="DB4:DB35" si="11">(1.86*10^(-2) - 4.55*10^(-8) * C4*1000) * C4</f>
        <v>7.2548945787631575E-2</v>
      </c>
      <c r="DC4" s="229">
        <f t="shared" ref="DC4:DC35" si="12">IF(B4 &lt; 18, (6.3*10^(-3) * B4^5 - 0.3162 * B4^4 + 5.5896 * B4^3 - 42.196 * B4^2 + 160.79 * B4 + 50.506) / 1050, 0.58)</f>
        <v>4.8100952380952383E-2</v>
      </c>
      <c r="DD4" s="229">
        <f t="shared" ref="DD4:DD35" si="13">0.007 * C4</f>
        <v>2.7568975000000003E-2</v>
      </c>
      <c r="DE4" s="229">
        <f t="shared" ref="DE4:DE35" si="14">IF(B4 &lt; 18, ((31.46 * (D4/100) * SQRT(C4) + 1.43) + (35.3 * (D4/100) * SQRT(C4) + 1.53)) / 1050, 0.8)</f>
        <v>8.4015465487728452E-2</v>
      </c>
      <c r="DF4" s="229">
        <f t="shared" ref="DF4:DF35" si="15">AVERAGE(CY4:DE4)</f>
        <v>3.573007866823278E-2</v>
      </c>
      <c r="DG4" s="229">
        <f t="shared" ref="DG4:DG35" si="16">STDEV(CY4:DE4)</f>
        <v>3.3202223458749659E-2</v>
      </c>
      <c r="DH4" s="229">
        <f t="shared" ref="DH4:DH35" si="17">(DG4/DF4)*100</f>
        <v>92.925133938396257</v>
      </c>
      <c r="DJ4" s="234">
        <f>1.48*10^(-3) * C4</f>
        <v>5.8288690000000004E-3</v>
      </c>
      <c r="DK4" s="234">
        <f>0.002 * C4</f>
        <v>7.8768499999999995E-3</v>
      </c>
      <c r="DL4" s="234">
        <f>(7.92*(D4/100)*SQRT(C4)-2.09)/1045</f>
        <v>7.6787379629659602E-3</v>
      </c>
      <c r="DM4" s="234">
        <f t="shared" ref="DM4:DM35" si="18">AVERAGE(DJ4:DL4)</f>
        <v>7.1281523209886536E-3</v>
      </c>
      <c r="DN4" s="234">
        <f t="shared" ref="DN4:DN35" si="19">STDEV(DJ4:DL4)</f>
        <v>1.1295640557108398E-3</v>
      </c>
      <c r="DO4" s="234">
        <f t="shared" ref="DO4:DO35" si="20">(DN4/DM4)*100</f>
        <v>15.846519614695504</v>
      </c>
      <c r="DQ4" s="229">
        <f>IF(B4 &lt;= 18,  (2.88*10^(-1) * (B4*365.25*24) + 2.71*10^(-1) * (B4 * 365.25 * 24)^0.998 + 200) / 25000, 3.49)</f>
        <v>8.0000000000000002E-3</v>
      </c>
      <c r="DR4" s="229">
        <f>IF(B4 &lt; 10, 0.664 * AVERAGE(E4:K4) + 7.85*10^(-2)*AVERAGE(E4:K4)^1.049, IF(B4 &lt; 20, (-9.356*10^(-5) - 2.151*10^(-5) * B4 - 5.058*10^(-1) * AVERAGE(E4:K4) + 1.134*10^(-6) * B4^2 + 0.117 * B4 * AVERAGE(E4:K4) - 1.673*10^(-5) * AVERAGE(E4:K4)^2) +  (7.85*10^(-2)*AVERAGE(E4:K4)^1.049), 1.834 * AVERAGE(E4:K4) + (7.85*10^(-2) * AVERAGE(E4:K4)^1.049)))</f>
        <v>0.21035813641366718</v>
      </c>
      <c r="DS4" s="229">
        <f>AVERAGE(E4:K4)*10000 * 0.15 / 1000</f>
        <v>0.42766237283725855</v>
      </c>
      <c r="DT4" s="229">
        <f>(1.03 * 10^(-1) - 2.56 * 10^(-6) * C4*1000 + 3.68 * 10^(-11) * (C4*1000)^2 - 2.58 * 10^(-16) * (C4 * 1000)^3 + 8.62 * 10^(-22) * ( C4* 1000)^4 - 1.1 * 10^(-27) * (C4*1000)^5)  * C4</f>
        <v>0.36813596311752261</v>
      </c>
      <c r="DU4" s="229">
        <f>IF(B4 &lt; 10, 0.664 *AVERAGE(E4:K4) + 7.85*10^(-2)*AVERAGE(E4:K4)^1.049, IF(B4 &lt; 20, (-9.356*10^(-5) - 2.151*10^(-5) * B4 - 5.058*10^(-1) * AVERAGE(E4:K4) + 1.134*10^(-6) * B4^2 + 0.117 * B4 * AVERAGE(E4:K4) - 1.673*10^(-5) * AVERAGE(E4:K4)^2) +  (7.85*10^(-2)*AVERAGE(E4:K4)^1.049), 1.834 *AVERAGE(E4:K4) + (7.85*10^(-2) * AVERAGE(E4:K4)^1.049)))</f>
        <v>0.21035813641366718</v>
      </c>
      <c r="DV4" s="229">
        <f>IF(B4 &lt; 18, (4.75522*10^(-3) * B4^5 - 0.27924 * B4^4 + 6.3444 * B4^3 - 70.113 * B4^2 + 429.85 * B4 + 252.06) / 1000, 1.97)</f>
        <v>0.25206000000000001</v>
      </c>
      <c r="DW4" s="229">
        <f>IF(B4 &lt; 20,  (-7.8882*10^(-6) * B4^3 + 4.0224*10^(-4) * B4^2 - 5.2146*10^(-3) * B4 + 4.5605 * 10^(-2)) * B4, 0.0383 * B4)</f>
        <v>0</v>
      </c>
      <c r="DX4" s="229">
        <f>EXP(1.64 * AVERAGE(E4:K4) - 1.93) / 1.116</f>
        <v>0.20759352118882213</v>
      </c>
      <c r="DY4" s="229">
        <f t="shared" ref="DY4:DY35" si="21">AVERAGE(DQ4:DX4)</f>
        <v>0.21052101624636721</v>
      </c>
      <c r="DZ4" s="229">
        <f t="shared" ref="DZ4:DZ35" si="22">STDEV(DQ4:DX4)</f>
        <v>0.1507414110230168</v>
      </c>
      <c r="EA4" s="229">
        <f t="shared" ref="EA4:EA35" si="23">(DZ4/DY4)*100</f>
        <v>71.603972710547865</v>
      </c>
      <c r="EC4" s="235">
        <f>(3.12 * 10^(-3) - 5.57 * 10^(-9) * C4*1000) * C4</f>
        <v>1.2201488663452919E-2</v>
      </c>
      <c r="ED4" s="235">
        <f>IF(B4 &lt; 18, (6.3696*10^(-4) * B4^5 - 3.5327*10^(-2) * B4^4 + 0.7073 * B4^3 - 6.0357 * B4^2 + 26.311 * B4 + 8.1692) / 1054, 0.15)</f>
        <v>7.7506641366223905E-3</v>
      </c>
      <c r="EE4" s="235">
        <f>0.0022 * C4</f>
        <v>8.664535000000001E-3</v>
      </c>
      <c r="EF4" s="235">
        <f>(9.36 *D4/100 * SQRT(C4) + 7.98) / 1054</f>
        <v>1.8911993723209636E-2</v>
      </c>
      <c r="EG4" s="235">
        <f>AVERAGE(EC4:EF4)</f>
        <v>1.1882170380821237E-2</v>
      </c>
      <c r="EH4" s="235">
        <f>STDEV(EC4:EF4)</f>
        <v>5.0643493060339049E-3</v>
      </c>
      <c r="EI4" s="235">
        <f t="shared" ref="EI4:EI35" si="24">(EH4/EG4)*100</f>
        <v>42.621416321450546</v>
      </c>
      <c r="EK4" s="236">
        <f>IF(B4 &lt; 18, (0.038*B4^5 - 2.6629*B4^4 + 60.433*B4^3 - 479.37*B4^2 + 1592.3*B4 + 912.36)/916, (0.038*18^5 - 2.6629*18^4 + 60.433*18^3 - 479.37*18^2 + 1592.3*18 + 912.36)/916)</f>
        <v>0.99602620087336247</v>
      </c>
      <c r="EL4" s="236">
        <f>IF(B4 &lt; 25, ((1.5334 * EXP(-0.103 * B4) + 0.67) * (C4/(D4/100)^2) + 0.6276 * B4 + 1.0301) * C4/100, (1.9224 * (C4/(D4/100)^2) - 0.018517 * (C4/(D4/100)^2)^2 + 0.05537 * B4 - 0.794894) * 0.979 * C4/100)</f>
        <v>0.86592588495277423</v>
      </c>
      <c r="EM4" s="236">
        <f>IF(B4&lt;=25,((1.5334*EXP(-0.103*B4)+0.67)*(C4/(D4/100)^2)+0.6276*B4+1.0301)*C4/100, (1.9224*(C4/(D4/100)^2)-0.018517*(C4/(D4/100)^2)^2+0.05537*B4-0.794894) *C4/100)</f>
        <v>0.86592588495277423</v>
      </c>
      <c r="EN4" s="236">
        <f>IF(B4 &lt;= 18, (2.54*10^(-2) * (B4 * 365.25 * 24) + 1.88 * 10^1 *(B4 * 365.25 * 24)^(5.2*10^(-1)) + 9.06 * 10^(-2)) / 1000, 14.4)</f>
        <v>9.0600000000000007E-5</v>
      </c>
      <c r="EO4" s="236">
        <f>6.132 * 10^(-1) + 8.475 * 10^(-2) * B4 + 8.151 * 10^(-5) * B4^2 + 1.341*10^(-1) * C4 + 2.297 * 10^(-3) * C4^2</f>
        <v>1.1769719993309955</v>
      </c>
      <c r="EP4" s="236">
        <f>IF(B4 &lt; 25, ((1.5334 * EXP(-0.103 * B4) + 0.67) * (C4/(D4/100)^2) + 0.6276 * B4 + 1.0301) * C4 / 100, (1.9224 * (C4/(D4/100)^2) - 0.018517 * (C4/(D4/100)^2)^2 + 0.05537*B4 - 0.794894) * C4/100)</f>
        <v>0.86592588495277423</v>
      </c>
      <c r="EQ4" s="236">
        <f>(9.217 * 10^(-2) + 1.401 * 10^(-5) * (C4*1000) - 6.787*10^(-10) * (C4*1000)^2 + 1.54 * 10^(-14) * (C4*1000)^3 - 1.558*10^(-19) *(C4*1000)^4 + 7.249 * 10^(-25) * (C4*1000)^5 - 1.274 * 10^(-30) * (C4*1000)^6) * (C4)</f>
        <v>0.5424151190849571</v>
      </c>
      <c r="ER4" s="236">
        <f>AVERAGE(EK4:EQ4)</f>
        <v>0.75904022487823397</v>
      </c>
      <c r="ES4" s="236">
        <f>STDEV(EK4:EQ4)</f>
        <v>0.38471502948439384</v>
      </c>
      <c r="ET4" s="237">
        <f t="shared" ref="ET4:ET35" si="25">(ES4/ER4)*100</f>
        <v>50.684406026849274</v>
      </c>
      <c r="EV4" s="238">
        <f>(2 * 10^(-4) + (1.71*10^(-3) - 2 * 10^(-4)) * EXP(-2.02 *B4)) * C4</f>
        <v>6.7347067499999996E-3</v>
      </c>
      <c r="EW4" s="238">
        <f>AVERAGE(EV4)</f>
        <v>6.7347067499999996E-3</v>
      </c>
      <c r="EX4" s="238" t="e">
        <f>STDEV(EV4)</f>
        <v>#DIV/0!</v>
      </c>
      <c r="EY4" s="239" t="e">
        <f t="shared" ref="EY4:EY35" si="26">(EX4/EW4)*100</f>
        <v>#DIV/0!</v>
      </c>
      <c r="FA4" s="240">
        <f>0.0062 *C4</f>
        <v>2.4418235E-2</v>
      </c>
      <c r="FB4" s="240">
        <f>(0.00833 * 1/(1+EXP(-1.92*B4 + 28.6))) * C4</f>
        <v>1.2449313356532722E-14</v>
      </c>
      <c r="FC4" s="240">
        <f>AVERAGE(FA4:FB4)</f>
        <v>1.2209117500006224E-2</v>
      </c>
      <c r="FD4" s="240">
        <f>STDEV(FA4:FB4)</f>
        <v>1.7266299553097893E-2</v>
      </c>
      <c r="FE4" s="241">
        <f t="shared" ref="FE4:FE35" si="27">(FD4/FC4)*100</f>
        <v>141.4213562371653</v>
      </c>
      <c r="FG4" s="236">
        <f>IF(B4 &lt; 18,  (8.2 * 10^(-2) * (B4 * 365.25 * 24) + 4.41*10^(-2) * (B4 * 365.25 * 24)^(1.04) + 9*10^1) / 20000, 1.2)</f>
        <v>4.4999999999999997E-3</v>
      </c>
      <c r="FH4" s="236">
        <f>0.027 * (C4 - AVERAGE(EL4:EQ4))</f>
        <v>8.6909825820265768E-2</v>
      </c>
      <c r="FI4" s="236">
        <f>1.65 * 10^(-2) * C4</f>
        <v>6.4984012500000007E-2</v>
      </c>
      <c r="FJ4" s="236">
        <f>IF(B4 &lt; 18, (-0.0513 * B4^4 + 2.0352 * B4^3 - 23.478 * B4^2 + 110.61 * B4 + 49.229) / 1040, 0.92)</f>
        <v>4.7335576923076925E-2</v>
      </c>
      <c r="FK4" s="236">
        <f>IF(B4 &lt; 14.453301, (-7.421*10^(-5) * B4^2 + 1.276*10^(-3) * B4 + 1.298*10^(-2)) * C4, 0.016 * C4)</f>
        <v>5.1120756500000003E-2</v>
      </c>
      <c r="FL4" s="236">
        <f>IF(B4 &lt; 18, (-4.7817*10^(-2) * B4^4 + 1.925 * B4^3 - 22.382 * B4^2 + 107.09 * B4 + 51.125) / 1040, 0.9)</f>
        <v>4.9158653846153845E-2</v>
      </c>
      <c r="FM4" s="236">
        <f>AVERAGE(FG4:FL4)</f>
        <v>5.0668137598249424E-2</v>
      </c>
      <c r="FN4" s="236">
        <f>STDEV(FG4:FL4)</f>
        <v>2.70683968287635E-2</v>
      </c>
      <c r="FO4" s="237">
        <f t="shared" ref="FO4:FO35" si="28">(FN4/FM4)*100</f>
        <v>53.422916475419669</v>
      </c>
      <c r="FQ4" s="227">
        <f>IF(B4 &lt; 18,  (4.68*10^(-2)*(B4*365.25 *24)-3.81*10^(-2) *(B4*365.25*24)^(1.01)+2.8*10^1)/2000,0.32)</f>
        <v>1.4E-2</v>
      </c>
      <c r="FR4" s="227">
        <f>1.017*10^(-7) * (D4^(0.6862) * C4^(0.3561) *242.7)^1.42</f>
        <v>2.8668764957179339E-2</v>
      </c>
      <c r="FS4" s="227">
        <f>1.017*10^(-7) * (D4^(0.6862) * C4^(0.3561) *242.7)^1.42</f>
        <v>2.8668764957179339E-2</v>
      </c>
      <c r="FT4" s="227">
        <f>IF(B4 &lt; 18,  (4.246*10^(-4) * B4^5 - 2.97679*10^(-2) * B4^4 + 0.6539 * B4^3 - 5.5116 * B4^2 + 28.486 * B4 + 21.509) / 1030, 0.24)</f>
        <v>2.0882524271844661E-2</v>
      </c>
      <c r="FU4" s="227">
        <f>0.004167 * C4</f>
        <v>1.6411416974999999E-2</v>
      </c>
      <c r="FV4" s="227">
        <f t="shared" ref="FV4:FV35" si="29">AVERAGE(FQ4:FU4)</f>
        <v>2.1726294232240668E-2</v>
      </c>
      <c r="FW4" s="227">
        <f t="shared" ref="FW4:FW35" si="30">STDEV(FQ4:FU4)</f>
        <v>6.8016779198595062E-3</v>
      </c>
      <c r="FX4" s="242">
        <f t="shared" ref="FX4:FX35" si="31">(FW4/FV4)*100</f>
        <v>31.306203658818987</v>
      </c>
      <c r="FZ4" s="230">
        <f>2.1 * 10^(-2) * C4</f>
        <v>8.2706925000000001E-2</v>
      </c>
      <c r="GA4" s="230">
        <f>IF(B4 &lt; 18,  (7.984*10^(-4) * B4^6 - 0.037966 * B4^5 + 0.5272 * B4^4 - 1.1311 * B4^3 - 12.285 * B4^2 + 123.87 * B4 + 53.358) / 1000, 2.47)</f>
        <v>5.3357999999999996E-2</v>
      </c>
      <c r="GB4" s="230">
        <f>(0.045 + (0.0138 - 0.045) * EXP(-0.136 * B4)) * C4</f>
        <v>5.4350265000000002E-2</v>
      </c>
      <c r="GC4" s="230">
        <f>AVERAGE(FZ4:GB4)</f>
        <v>6.3471730000000004E-2</v>
      </c>
      <c r="GD4" s="230">
        <f>STDEV(FZ4:GB4)</f>
        <v>1.6665554070404452E-2</v>
      </c>
      <c r="GE4" s="243">
        <f t="shared" ref="GE4:GE35" si="32">(GD4/GC4)*100</f>
        <v>26.256656420747397</v>
      </c>
      <c r="GG4" s="231">
        <f>0.0014 * C4</f>
        <v>5.5137950000000002E-3</v>
      </c>
      <c r="GH4" s="231">
        <f>IF(B4 &lt; 18, (8.52*10^(-2) * (B4 * 365.25 * 24) + 8.31*10^(-2) * (B4 * 365.24 * 24)^(9.99*10^-1) + 1.1) / 500000, 0.05)</f>
        <v>2.2000000000000001E-6</v>
      </c>
      <c r="GI4" s="231">
        <f>IF(B4 &lt; 18,  (0.0044 * B4^3 + 0.0412 * B4^2 + 0.2333 * B4 + 2.1725) / 1050, 0.05)</f>
        <v>2.0690476190476188E-3</v>
      </c>
      <c r="GJ4" s="231">
        <f>IF(B4 &lt; 1, (-1.064*10^(-3) * B4 + 1.338*10^(-3)) * C4,  IF(B4 &lt; 20, (2.638*10^(-7) * B4^3 - 1.7943*10^(-6) * B4^2 - 5.6465*10^(-6) * B4 + 2.8105*10^(-4)) * C4, 0.001552 * C4))</f>
        <v>5.2696126500000008E-3</v>
      </c>
      <c r="GK4" s="245">
        <f>AVERAGE(GH4:GJ4)</f>
        <v>2.4469534230158732E-3</v>
      </c>
      <c r="GL4" s="231">
        <f>STDEV(GH4:GJ4)</f>
        <v>2.6539628113162544E-3</v>
      </c>
      <c r="GM4" s="244">
        <f t="shared" ref="GM4:GM35" si="33">(GL4/GK4)*100</f>
        <v>108.45988265870798</v>
      </c>
      <c r="GO4" s="246">
        <f>IF( B4&lt; 18,  (0.0008 * B4^5 - 0.0356 * B4^4 + 0.5823 * B4^3 - 4.0437 * B4^2 + 17.888 * B4 + 7.54)  / 1040, 0.18)</f>
        <v>7.2500000000000004E-3</v>
      </c>
      <c r="GP4" s="246">
        <f>0.0023 * C4</f>
        <v>9.0583774999999991E-3</v>
      </c>
      <c r="GQ4" s="247">
        <f>AVERAGE(GN4:GP4)</f>
        <v>8.1541887499999993E-3</v>
      </c>
      <c r="GR4" s="246">
        <f>STDEV(GN4:GP4)</f>
        <v>1.2787159931951749E-3</v>
      </c>
      <c r="GS4" s="248">
        <f t="shared" ref="GS4:GS35" si="34">(GR4/GQ4)*100</f>
        <v>15.681707063687666</v>
      </c>
      <c r="GU4" s="249">
        <f>0.0002833 * C4</f>
        <v>1.1157558025E-3</v>
      </c>
      <c r="GV4" s="249">
        <f>AVERAGE(GU4)</f>
        <v>1.1157558025E-3</v>
      </c>
      <c r="GW4" s="249" t="e">
        <f>STDEV(GU4)</f>
        <v>#DIV/0!</v>
      </c>
      <c r="GX4" s="250" t="e">
        <f t="shared" ref="GX4:GX35" si="35">(GW4/GV4)*100</f>
        <v>#DIV/0!</v>
      </c>
      <c r="GZ4" s="240">
        <f>3*10^(-4) * C4</f>
        <v>1.1815275000000001E-3</v>
      </c>
      <c r="HA4" s="240">
        <f>AVERAGE(GZ4)</f>
        <v>1.1815275000000001E-3</v>
      </c>
      <c r="HB4" s="240" t="e">
        <f>STDEV(GZ4)</f>
        <v>#DIV/0!</v>
      </c>
      <c r="HC4" s="241" t="e">
        <f t="shared" ref="HC4:HC35" si="36">(HB4/HA4)*100</f>
        <v>#DIV/0!</v>
      </c>
      <c r="HE4" s="234">
        <f>1.19*10^(-3) * C4 - 4.302*10^(-4)</f>
        <v>4.2565257499999993E-3</v>
      </c>
      <c r="HF4" s="234">
        <f>1.19*10^(-3) * C4 - 4.302*10^(-4)</f>
        <v>4.2565257499999993E-3</v>
      </c>
      <c r="HG4" s="251">
        <f>AVERAGE(HD4:HF4)</f>
        <v>4.2565257499999993E-3</v>
      </c>
      <c r="HH4" s="234">
        <f>STDEV(HD4:HF4)</f>
        <v>0</v>
      </c>
      <c r="HI4" s="252">
        <f t="shared" ref="HI4:HI35" si="37">(HH4/HG4)*100</f>
        <v>0</v>
      </c>
    </row>
    <row r="5" spans="1:217" ht="17.100000000000001" customHeight="1" x14ac:dyDescent="0.25">
      <c r="B5">
        <v>1</v>
      </c>
      <c r="C5" s="124">
        <f t="shared" ref="C5:C68" si="38">3.938425 + 0.7518199*B5*12 - 0.02023793*(B5*12)^2 + 0.0002921682*(B5*12)^3 - 0.00000206762*(B5*12)^4 + 0.000000008469*(B5*12)^5 - 0.00000000002188427*(B5*12)^6 + 3.699776E-14*(B5*12)^7 - 4.099077E-17*(B5*12)^8 + 2.874804E-20*(B5*12)^9 - 1.159732E-23*(B5*12)^10 + 2.052602E-27*(B5*12)^11</f>
        <v>10.510037681626898</v>
      </c>
      <c r="D5" s="124">
        <f t="shared" ref="D5:D68" si="39">64.35+0.8146*B5*12 - 0.0007474*(B5*12)^2 - 0.000006322*(B5*12)^3 + 0.00000001903*(B5*12)^4 - 0.00000000001995*(B5*12)^5 + 0.000000000000007297*(B5*12)^6</f>
        <v>74.007039647670311</v>
      </c>
      <c r="E5" s="29">
        <f t="shared" ref="E5:E68" si="40">EXP(-3.75+0.42*LN(C5)+0.52*LN(D5))</f>
        <v>0.59223144707185116</v>
      </c>
      <c r="F5" s="29">
        <f t="shared" ref="F5:F68" si="41">(C5^0.515 *  D5^0.422 * 235) / 10000</f>
        <v>0.48531898716589766</v>
      </c>
      <c r="G5" s="29">
        <f t="shared" ref="G5:G67" si="42">0.007184*C5^0.425*D5^0.725</f>
        <v>0.44235515040694601</v>
      </c>
      <c r="H5" s="29">
        <f t="shared" ref="H5:H68" si="43">(C5^0.515 * D5^0.422) * 234.9 / 10000</f>
        <v>0.48511246844795469</v>
      </c>
      <c r="I5" s="29">
        <f t="shared" ref="I5:I68" si="44">EXP(-3.75 + 0.42 * LN(D5) + 0.52 * LN(C5))</f>
        <v>0.48721941778674982</v>
      </c>
      <c r="J5" s="29">
        <f t="shared" ref="J5:J68" si="45">C5^0.515 * D5^0.422 * 0.02349</f>
        <v>0.48511246844795469</v>
      </c>
      <c r="K5" s="29">
        <f t="shared" ref="K5:K68" si="46">IF(B5 &lt; 18,  (0.024265*C5^0.5378) * (D5^0.3964), SQRT(C5*D5/3600))</f>
        <v>0.47356424375923467</v>
      </c>
      <c r="L5" s="125">
        <f t="shared" si="0"/>
        <v>0.49298774044094124</v>
      </c>
      <c r="M5" s="126">
        <f t="shared" si="1"/>
        <v>4.6558865685818282E-2</v>
      </c>
      <c r="N5" s="126">
        <f t="shared" ref="N5:N68" si="47">(M5/L5)*100</f>
        <v>9.4442238348918792</v>
      </c>
      <c r="P5" s="138">
        <f t="shared" ref="P5:P68" si="48" xml:space="preserve"> AVERAGE(E5:K5) * 3.5 * 60</f>
        <v>103.52742549259766</v>
      </c>
      <c r="Q5" s="138">
        <f t="shared" ref="Q5:Q68" si="49">IF(B5&lt; 18, 0.012 * B5^3 - 1.2144 * B5^2 + 40.324 * B5 + 44.414, 325.7924)</f>
        <v>83.535600000000002</v>
      </c>
      <c r="R5" s="138">
        <f t="shared" ref="R5:R68" si="50">3.5 * AVERAGE(E5:K5) * 60</f>
        <v>103.52742549259766</v>
      </c>
      <c r="S5" s="138">
        <f t="shared" ref="S5:S68" si="51">5.528076 - 2.834486 *B5 + 0.012591 *B5^2 + 204.262351 * AVERAGE(E5:K5)+ 19.27429 *AVERAGE(E5:K5)^2</f>
        <v>108.08937980357487</v>
      </c>
      <c r="T5" s="138">
        <f t="shared" ref="T5:T68" si="52">(0.2508 * C5^0.7815) * 60</f>
        <v>94.593767280720883</v>
      </c>
      <c r="U5" s="138">
        <f t="shared" ref="U5:U68" si="53">AVERAGE(E5:K5) * 3.5 * 60</f>
        <v>103.52742549259766</v>
      </c>
      <c r="V5" s="138">
        <f t="shared" ref="V5:V68" si="54">IF(B5 &lt;= 16.027, (7.734 + (0.6 - 7.734) * EXP(-0.09747 *B5))*60, (0.000473 * B5^2 - 0.0782 * B5 + 7.37)*60 )</f>
        <v>75.752265263140231</v>
      </c>
      <c r="W5" s="138">
        <f t="shared" ref="W5:W68" si="55">AVERAGE(P5:V5)</f>
        <v>96.07904126074699</v>
      </c>
      <c r="X5" s="138">
        <f t="shared" ref="X5:X68" si="56">STDEV(P5:V5)</f>
        <v>12.134010705613139</v>
      </c>
      <c r="Y5" s="138">
        <f t="shared" ref="Y5:Y68" si="57">(X5/W5)*100</f>
        <v>12.629196280885955</v>
      </c>
      <c r="AA5" s="227">
        <f t="shared" ref="AA5:AA39" si="58">IF(B5 &lt; 2, 0.359, (0.00000112815 * B5^3) - (0.000172362 * B5^2) + (0.00815264 * B5) + 0.327363)</f>
        <v>0.35899999999999999</v>
      </c>
      <c r="AB5" s="227">
        <f t="shared" ref="AB5:AB39" si="59">IF(B5 &lt; 1, 0.355109, 0.3475 + (0.07 * B5) / (8.2 + B5))</f>
        <v>0.3551086956521739</v>
      </c>
      <c r="AC5" s="227">
        <f t="shared" ref="AC5:AC39" si="60">IF(B5&lt;18,(-0.1*(B5*365.25*24)^(0.00000000000966))-0.1*(B5*365.25*24)^0.00000155+0.00000055*B5*365.25*24+0.58,0.47)</f>
        <v>0.38481989279276752</v>
      </c>
      <c r="AD5" s="227">
        <f t="shared" ref="AD5:AD39" si="61">IF(B5 &lt; 2, 0.359, (0.00000112815 * B5^3) - (0.000172362 * B5^2) + (0.00815264 * B5) + 0.327363)</f>
        <v>0.35899999999999999</v>
      </c>
      <c r="AE5" s="227">
        <f t="shared" ref="AE5:AE68" si="62">AVERAGE(AA5:AD5)</f>
        <v>0.36448214711123533</v>
      </c>
      <c r="AF5" s="227">
        <f t="shared" ref="AF5:AF68" si="63">STDEV(AA5:AD5)</f>
        <v>1.3682024284446044E-2</v>
      </c>
      <c r="AG5" s="227">
        <f t="shared" ref="AG5:AG68" si="64">(AF5/AE5)*100</f>
        <v>3.753825638069034</v>
      </c>
      <c r="AI5" s="228">
        <f t="shared" ref="AI5:AI68" si="65">(10^(1.2082*LOG10(AVERAGE(E5:K5))+3.2869)/1000)</f>
        <v>0.82372946199446673</v>
      </c>
      <c r="AJ5" s="228">
        <f t="shared" ref="AJ5:AJ68" si="66">(10^(1.2082*LOG10(AVERAGE(E5:K5))+3.2869)/1000)</f>
        <v>0.82372946199446673</v>
      </c>
      <c r="AK5" s="228">
        <f t="shared" ref="AK5:AK68" si="67">(10^(1.2082*LOG10(AVERAGE(E5:K5))+3.2869)/1000)</f>
        <v>0.82372946199446673</v>
      </c>
      <c r="AL5" s="228">
        <f t="shared" ref="AL5:AL68" si="68">(0.0897 - 0.00000035 *C5 + 0.000000000000654 * C5^2) * C5</f>
        <v>0.94271171948896859</v>
      </c>
      <c r="AM5" s="228">
        <f t="shared" ref="AM5:AM68" si="69">IF(B5 &lt; 18, (0.0018 * B5^5 + 0.0959 * B5^4 - 4.4055 * B5^3 + 45.442 * B5^2 + 82.808 * B5 + 292.26) / 1000, 4.28)</f>
        <v>0.41620220000000002</v>
      </c>
      <c r="AN5" s="228">
        <f t="shared" ref="AN5:AN68" si="70">IF(B5 &lt;= 1, (-0.0273 * B5 + 0.0771) * C5, IF(B5 &lt; 14.019723, (0.0000328 * B5^3 - 0.00121 * B5^2 + 0.0124 * B5 + 0.0386) *C5,0.065 * C5))</f>
        <v>0.52339987654501952</v>
      </c>
      <c r="AO5" s="228">
        <f t="shared" ref="AO5:AO68" si="71">(2.66 * AVERAGE(E5:K5) - 0.46) / 1.06</f>
        <v>0.80315791469141862</v>
      </c>
      <c r="AP5" s="228">
        <f t="shared" ref="AP5:AP68" si="72">AVERAGE(AI5:AO5)</f>
        <v>0.73666572810125797</v>
      </c>
      <c r="AQ5" s="228">
        <f t="shared" ref="AQ5:AQ68" si="73">STDEV(AI5:AO5)</f>
        <v>0.19052368138277989</v>
      </c>
      <c r="AR5" s="228">
        <f t="shared" ref="AR5:AR68" si="74">(AQ5/AP5)*100</f>
        <v>25.862976125392866</v>
      </c>
      <c r="AT5" s="229">
        <f t="shared" ref="AT5:AT68" si="75">10 * (B5 + 0.315)/(9+6.92 * B5)</f>
        <v>0.82600502512562801</v>
      </c>
      <c r="AU5" s="229">
        <f t="shared" ref="AU5:AU68" si="76">IF(B5 &lt; 18,  (-0.0503 * B5*365.25*24 + 0.907 *  (B5*365.25*24)^(0.769) + 0.0395) / 1000, 1.47)</f>
        <v>0.53549585971290048</v>
      </c>
      <c r="AV5" s="229">
        <f t="shared" ref="AV5:AV68" si="77">0.3757397 - 0.0003031 * B5 - 0.0021962 * C5 + 0.0065721 * D5</f>
        <v>0.83873612051206514</v>
      </c>
      <c r="AW5" s="229">
        <f t="shared" ref="AW5:AW68" si="78">10 * (B5 + 0.315)/(9+6.92 * B5)</f>
        <v>0.82600502512562801</v>
      </c>
      <c r="AX5" s="229">
        <f t="shared" ref="AX5:AX68" si="79">(0.1216 - 0.000003456 * C5*1000 + 0.00000000004354 * (C5*1000)^2 - 0.0000000000000002463 * (C5*1000)^3 + 5.132E-22 * (C5*1000)^4) * B5</f>
        <v>8.9807097352176249E-2</v>
      </c>
      <c r="AY5" s="229">
        <f t="shared" ref="AY5:AY68" si="80">IF(B5 &lt; 18, 10 * (B5 + 0.226) / (6.521 + 7.514 * B5), 1.3)</f>
        <v>0.87353045956537223</v>
      </c>
      <c r="AZ5" s="229">
        <f t="shared" ref="AZ5:AZ68" si="81">1.3 + (0.347 - 1.3) * EXP(-0.573 * B5)</f>
        <v>0.76266867131617722</v>
      </c>
      <c r="BA5" s="229">
        <f t="shared" ref="BA5:BA68" si="82">(0.373 * ((3.68 - 2.68 * EXP(-B5/0.89)) * EXP(-B5/629))) / 1.03</f>
        <v>1.0155184704958236</v>
      </c>
      <c r="BB5" s="229">
        <f t="shared" ref="BB5:BB68" si="83">AVERAGE(AT5:BA5)</f>
        <v>0.72097084115072141</v>
      </c>
      <c r="BC5" s="229">
        <f t="shared" ref="BC5:BC68" si="84">STDEV(AT5:BA5)</f>
        <v>0.28796654394438409</v>
      </c>
      <c r="BD5" s="229">
        <f t="shared" ref="BD5:BD68" si="85">(BC5/BB5)*100</f>
        <v>39.941496591563777</v>
      </c>
      <c r="BF5" s="230">
        <f t="shared" ref="BF5:BF68" si="86">IF(B5 &lt; 18, (0.0597 * B5*365.25*24 + 0.907 * (B5*365.25*24)^(0.769) + 395) / 1000, 11.73)</f>
        <v>1.8947163597129006</v>
      </c>
      <c r="BG5" s="230">
        <f t="shared" ref="BG5:BG68" si="87">IF(B5 &lt; 18, (-0.002831 * B5^5 - 0.18184 * B5^4 + 10.685 * B5^3 - 142.88 * B5^2 + 782.05 * B5 + 609.64) / 1000, 6.27)</f>
        <v>1.2593103289999998</v>
      </c>
      <c r="BH5" s="230">
        <f t="shared" ref="BH5:BH68" si="88">IF(B5 &lt; 50, (0.74042 + (2.14976 - 0.74042) / (1 + EXP(12.35466 - B5) / 1.58179)) / 0.65 / 0.5,  (0.74042 + (2.14976 - 0.74042) / (1 + EXP(12.35466 - B5) / 1.58179) - (0.0056 * B5)) / 0.65 / 0.5)</f>
        <v>2.2782957385252436</v>
      </c>
      <c r="BI5" s="230">
        <f t="shared" si="2"/>
        <v>1.8107741424127148</v>
      </c>
      <c r="BJ5" s="230">
        <f t="shared" si="3"/>
        <v>0.51465283258744909</v>
      </c>
      <c r="BK5" s="230">
        <f t="shared" ref="BK5:BK68" si="89">(BJ5/BI5)*100</f>
        <v>28.421702107017854</v>
      </c>
      <c r="BM5" s="227">
        <f t="shared" ref="BM5:BM68" si="90">IF(B5 &lt; 18,  (1.26*10^(-1) * (B5* 365.25 * 24) + 7.76*10^(-6) * (B5 * 365.25 * 24)^(1.76) + 9.5*10^(-2))/1000,31.73)</f>
        <v>1.1720936769223231</v>
      </c>
      <c r="BN5" s="227">
        <f t="shared" ref="BN5:BN68" si="91">IF(B5 &lt; 3, 0.09563 * C5 + 0.0165 * D5 + 0.09102 * B5 - 0.1642, IF(B5 &lt; 18, 0.1629 * C5 + 0.02603 * D5 + 0.4661 * B5 - 3.332, 6.78 * AVERAGE(E5:K5)^1.629 - 0.001492 * B5 + 3.58))</f>
        <v>2.1530110576805401</v>
      </c>
      <c r="BO5" s="227">
        <f t="shared" ref="BO5:BO68" si="92">(0.1251 + 0.00001458 * (C5*1000) - 0.0000000002927 *(C5*1000)^2 + 0.000000000000002114 * (C5*1000)^3 - 5.25E-21 * (C5*1000)^4) * C5</f>
        <v>2.6106369444160022</v>
      </c>
      <c r="BP5" s="227">
        <f t="shared" ref="BP5:BP68" si="93">IF(B5 &lt; 3, 0.09563 * C5 + 0.0165 * D5 + 0.09102 * B5 - 0.1642, IF(B5 &lt; 18, 0.1629 * C5 + 0.02603 * D5 + 0.4661 * B5 - 3.332, 6.78 * AVERAGE(E5:K5)^1.629 - 0.001492 * B5 + 3.58))</f>
        <v>2.1530110576805401</v>
      </c>
      <c r="BQ5" s="227">
        <f t="shared" ref="BQ5:BQ68" si="94">IF(B5 &lt; 18, (0.015 * B5^6 - 0.8155*B5^5 + 15.849*B5^4 - 134.99 * B5^3 + 549.43 * B5^2 - 530.65 * B5+ 958.87) / 1040, 15.17)</f>
        <v>0.82471971153846146</v>
      </c>
      <c r="BR5" s="227">
        <f t="shared" ref="BR5:BR68" si="95">IF(B5 &lt;= 25.90709, (0.2917 + (0.207 - 0.2917) * EXP(-0.339 * B5)) * C5, (0.2917 + (0.207 - 0.2917) * EXP(-0.339 * B5)) * (-0.0001264 * B5^2 + 0.006131 * B5 + 0.926) * C5 )</f>
        <v>2.4315259790156496</v>
      </c>
      <c r="BS5" s="227">
        <f t="shared" ref="BS5:BS68" si="96">IF(B5 &lt; 19, (7 /(1 + (6.5 * EXP(-0.55 * B5)))) + (13 / (1 + EXP(-0.75 * (B5 - 11.5)))), 19.95)</f>
        <v>1.4785700999520213</v>
      </c>
      <c r="BT5" s="227">
        <f t="shared" si="4"/>
        <v>1.8319383610293627</v>
      </c>
      <c r="BU5" s="227">
        <f t="shared" si="5"/>
        <v>0.67660989393741011</v>
      </c>
      <c r="BV5" s="227">
        <f t="shared" ref="BV5:BV68" si="97">(BU5/BT5)*100</f>
        <v>36.934097147090924</v>
      </c>
      <c r="BX5" s="231">
        <f t="shared" ref="BX5:BX68" si="98">IF(B5 &lt;= 12, 0.02053*D5/100*(C5^0.5+0.01266), 0.0154+0.00204*C5 + 0.0518*(D5/100)^2*(0.02053*(D5/100)*C5^0.5+0.01266)/(0.0154 + 0.00204 *C5+0.0518*(D5/100)^2) )</f>
        <v>4.9448916103772604E-2</v>
      </c>
      <c r="BY5" s="231">
        <f t="shared" ref="BY5:BY68" si="99">0.0458676 - 0.0003957 * B5 + 0.0035115 * C5</f>
        <v>8.2377897319032861E-2</v>
      </c>
      <c r="BZ5" s="231">
        <f t="shared" ref="BZ5:BZ68" si="100">(0.00726 - 0.0000000669 * (C5*1000) + 0.000000000000333 * (C5*1000)^2) * C5</f>
        <v>6.9299635619132507E-2</v>
      </c>
      <c r="CA5" s="231">
        <f t="shared" ref="CA5:CA68" si="101">IF(B5 &lt; 18, (0.0012676 * B5^5 - 0.066825 * B5^4 + 1.2345 * B5^3 - 9.4597 * B5^2 + 39.005 * B5 + 27.161)/1050, 0.24)</f>
        <v>5.5119278666666674E-2</v>
      </c>
      <c r="CB5" s="231">
        <f t="shared" ref="CB5:CB68" si="102">(0.0046 + (0.00709 - 0.0046) * EXP(-0.221 * B5))  * C5</f>
        <v>6.9327093909882273E-2</v>
      </c>
      <c r="CC5" s="231">
        <f t="shared" ref="CC5:CC68" si="103">((10.65 * D5/100 * SQRT(C5 + 6.11) + (9.88 * D5/100 * SQRT(C5) + 6.55)) / 1050)</f>
        <v>5.9415844891093472E-2</v>
      </c>
      <c r="CD5" s="231">
        <f t="shared" ref="CD5:CD68" si="104">IF(B5 &lt; 18, (3.17*10^(-2) * (B5*365.25*24) + 1.44*10^(-2) * (B5*365.25*24)^(1.06) + 38) / 20000, 0.48)</f>
        <v>2.6675942851800322E-2</v>
      </c>
      <c r="CE5" s="231">
        <f t="shared" ref="CE5:CE68" si="105">EXP(-2.306 * ((D5/100)^(-1.93)))</f>
        <v>1.6203694519862449E-2</v>
      </c>
      <c r="CF5" s="231">
        <f t="shared" ref="CF5:CF68" si="106">AVERAGE(BX5:CE5)</f>
        <v>5.3483537985155399E-2</v>
      </c>
      <c r="CG5" s="231">
        <f t="shared" ref="CG5:CG68" si="107">STDEV(BX5:CE5)</f>
        <v>2.2356306819273374E-2</v>
      </c>
      <c r="CH5" s="231">
        <f t="shared" si="6"/>
        <v>41.800351400609415</v>
      </c>
      <c r="CJ5" s="232">
        <f t="shared" ref="CJ5:CJ68" si="108">IF(B5 &lt;= 22, 0.05012*C5^0.78, (1.07828 * AVERAGE(E5:K5) - 0.3457) * (0.05012*61.91^0.78 / (1.0728 * 1.73 - 0.3457)) )</f>
        <v>0.31395137925421057</v>
      </c>
      <c r="CK5" s="232">
        <f t="shared" ref="CK5:CK68" si="109">IF(B5 &lt;= 22, 0.05012*C5^0.78, (1.07828 * AVERAGE(E5:K5) - 0.3457) * (0.05012*61.91^0.78 / (1.0728 * 1.73 - 0.3457)) )</f>
        <v>0.31395137925421057</v>
      </c>
      <c r="CL5" s="232">
        <f t="shared" ref="CL5:CL68" si="110">IF(B5 &lt; 18, (2.79*10^-3 * (B5*365.25*24) + 1.1 * (B5*365.25*24)^(6.03*10^-1) + 1.6*10^2) / 1000, 2.1)</f>
        <v>0.44681976613415542</v>
      </c>
      <c r="CM5" s="232">
        <f t="shared" ref="CM5:CM68" si="111">(0.0233 + (0.038 - 0.0233) * EXP(-0.122 * B5)) * C5</f>
        <v>0.3816371357717665</v>
      </c>
      <c r="CN5" s="232">
        <f t="shared" ref="CN5:CN68" si="112">0.0017717 - 0.0030113 *B5 + 0.0253455 * C5</f>
        <v>0.26514256005967451</v>
      </c>
      <c r="CO5" s="232">
        <f t="shared" ref="CO5:CO68" si="113">0.05012 * C5^0.78</f>
        <v>0.31395137925421057</v>
      </c>
      <c r="CP5" s="232">
        <f t="shared" ref="CP5:CP68" si="114">IF(B5 &lt;= 22, 0.05012*C5^0.78, (1.07828 * AVERAGE(E5:K5) - 0.3457) * (0.05012*61.96^0.78 / (1.0728 * 1.73 - 0.3457)) )</f>
        <v>0.31395137925421057</v>
      </c>
      <c r="CQ5" s="232">
        <f t="shared" ref="CQ5:CQ68" si="115">(3.939*10^(-2) - 7.058*10^(-7) * C5*1000 + 1.155*10^(-11) * (C5* 1000)^2 - 8.016*10^(-17) * (C5 * 1000)^3 + 1.869*10^(-22) * (C5 * 1000)^4) * C5</f>
        <v>0.34848192463681604</v>
      </c>
      <c r="CR5" s="232">
        <f t="shared" ref="CR5:CR68" si="116">0.0501 * C5</f>
        <v>0.5265528878495076</v>
      </c>
      <c r="CS5" s="232">
        <f t="shared" ref="CS5:CS68" si="117">IF(B5 &lt; 18, (0.0057 * B5^5 - 0.3396 * B5^4 + 7.0134 * B5^3 - 59.539 * B5^2 + 251.9 * B5 + 139.65) / 1050, 1.41)</f>
        <v>0.32256238095238099</v>
      </c>
      <c r="CT5" s="232">
        <f t="shared" ref="CT5:CT68" si="118">(674.3 * D5/100 + 6.5 * C5 - 214.4) / 1050</f>
        <v>0.33613782216649118</v>
      </c>
      <c r="CU5" s="232">
        <f t="shared" ref="CU5:CU68" si="119">AVERAGE(CJ5:CT5)</f>
        <v>0.35301272678069401</v>
      </c>
      <c r="CV5" s="232">
        <f t="shared" ref="CV5:CV68" si="120">STDEV(CJ5:CT5)</f>
        <v>7.4021713532535643E-2</v>
      </c>
      <c r="CW5" s="232">
        <f t="shared" si="7"/>
        <v>20.968567962854486</v>
      </c>
      <c r="CY5" s="229">
        <f t="shared" si="8"/>
        <v>5.746847479291782E-2</v>
      </c>
      <c r="CZ5" s="229">
        <f t="shared" si="9"/>
        <v>5.7181280595354919E-2</v>
      </c>
      <c r="DA5" s="229">
        <f t="shared" si="10"/>
        <v>1.9520284838383854E-2</v>
      </c>
      <c r="DB5" s="229">
        <f t="shared" si="11"/>
        <v>0.19046073028911095</v>
      </c>
      <c r="DC5" s="229">
        <f t="shared" si="12"/>
        <v>0.16607590476190476</v>
      </c>
      <c r="DD5" s="229">
        <f t="shared" si="13"/>
        <v>7.3570263771388283E-2</v>
      </c>
      <c r="DE5" s="229">
        <f t="shared" si="14"/>
        <v>0.15536553010434742</v>
      </c>
      <c r="DF5" s="229">
        <f t="shared" si="15"/>
        <v>0.10280606702191543</v>
      </c>
      <c r="DG5" s="229">
        <f t="shared" si="16"/>
        <v>6.6303948639154564E-2</v>
      </c>
      <c r="DH5" s="229">
        <f t="shared" si="17"/>
        <v>64.494198212076711</v>
      </c>
      <c r="DJ5" s="234">
        <f t="shared" ref="DJ5:DJ68" si="121">1.48*10^(-3) * C5</f>
        <v>1.5554855768807808E-2</v>
      </c>
      <c r="DK5" s="234">
        <f t="shared" ref="DK5:DK68" si="122">0.002 * C5</f>
        <v>2.1020075363253794E-2</v>
      </c>
      <c r="DL5" s="234">
        <f t="shared" ref="DL5:DL68" si="123">(7.92*(D5/100)*SQRT(C5)-2.09)/1045</f>
        <v>1.6183775465751109E-2</v>
      </c>
      <c r="DM5" s="234">
        <f t="shared" si="18"/>
        <v>1.7586235532604237E-2</v>
      </c>
      <c r="DN5" s="234">
        <f t="shared" si="19"/>
        <v>2.9903723820316006E-3</v>
      </c>
      <c r="DO5" s="234">
        <f t="shared" si="20"/>
        <v>17.004050562654864</v>
      </c>
      <c r="DQ5" s="229">
        <f t="shared" ref="DQ5:DQ68" si="124">IF(B5 &lt;= 18,  (2.88*10^(-1) * (B5*365.25*24) + 2.71*10^(-1) * (B5 * 365.25 * 24)^0.998 + 200) / 25000, 3.49)</f>
        <v>0.20229796317347121</v>
      </c>
      <c r="DR5" s="229">
        <f t="shared" ref="DR5:DR68" si="125">IF(B5 &lt; 10, 0.664 * AVERAGE(E5:K5) + 7.85*10^(-2)*AVERAGE(E5:K5)^1.049, IF(B5 &lt; 20, (-9.356*10^(-5) - 2.151*10^(-5) * B5 - 5.058*10^(-1) * AVERAGE(E5:K5) + 1.134*10^(-6) * B5^2 + 0.117 * B5 * AVERAGE(E5:K5) - 1.673*10^(-5) * AVERAGE(E5:K5)^2) +  (7.85*10^(-2)*AVERAGE(E5:K5)^1.049), 1.834 * AVERAGE(E5:K5) + (7.85*10^(-2) * AVERAGE(E5:K5)^1.049)))</f>
        <v>0.36472518938021026</v>
      </c>
      <c r="DS5" s="229">
        <f t="shared" ref="DS5:DS68" si="126">AVERAGE(E5:K5)*10000 * 0.15 / 1000</f>
        <v>0.73948161066141183</v>
      </c>
      <c r="DT5" s="229">
        <f t="shared" ref="DT5:DT68" si="127">(1.03 * 10^(-1) - 2.56 * 10^(-6) * C5*1000 + 3.68 * 10^(-11) * (C5*1000)^2 - 2.58 * 10^(-16) * (C5 * 1000)^3 + 8.62 * 10^(-22) * ( C5* 1000)^4 - 1.1 * 10^(-27) * (C5*1000)^5)  * C5</f>
        <v>0.83943793370363295</v>
      </c>
      <c r="DU5" s="229">
        <f t="shared" ref="DU5:DU68" si="128">IF(B5 &lt; 10, 0.664 *AVERAGE(E5:K5) + 7.85*10^(-2)*AVERAGE(E5:K5)^1.049, IF(B5 &lt; 20, (-9.356*10^(-5) - 2.151*10^(-5) * B5 - 5.058*10^(-1) * AVERAGE(E5:K5) + 1.134*10^(-6) * B5^2 + 0.117 * B5 * AVERAGE(E5:K5) - 1.673*10^(-5) * AVERAGE(E5:K5)^2) +  (7.85*10^(-2)*AVERAGE(E5:K5)^1.049), 1.834 *AVERAGE(E5:K5) + (7.85*10^(-2) * AVERAGE(E5:K5)^1.049)))</f>
        <v>0.36472518938021026</v>
      </c>
      <c r="DV5" s="229">
        <f t="shared" ref="DV5:DV68" si="129">IF(B5 &lt; 18, (4.75522*10^(-3) * B5^5 - 0.27924 * B5^4 + 6.3444 * B5^3 - 70.113 * B5^2 + 429.85 * B5 + 252.06) / 1000, 1.97)</f>
        <v>0.61786691522000003</v>
      </c>
      <c r="DW5" s="229">
        <f t="shared" ref="DW5:DW68" si="130">IF(B5 &lt; 20,  (-7.8882*10^(-6) * B5^3 + 4.0224*10^(-4) * B5^2 - 5.2146*10^(-3) * B5 + 4.5605 * 10^(-2)) * B5, 0.0383 * B5)</f>
        <v>4.0784751799999998E-2</v>
      </c>
      <c r="DX5" s="229">
        <f t="shared" ref="DX5:DX68" si="131">EXP(1.64 * AVERAGE(E5:K5) - 1.93) / 1.116</f>
        <v>0.29192715715400602</v>
      </c>
      <c r="DY5" s="229">
        <f t="shared" si="21"/>
        <v>0.43265583880911779</v>
      </c>
      <c r="DZ5" s="229">
        <f t="shared" si="22"/>
        <v>0.275052794316689</v>
      </c>
      <c r="EA5" s="229">
        <f t="shared" si="23"/>
        <v>63.573115082364296</v>
      </c>
      <c r="EC5" s="235">
        <f t="shared" ref="EC5:EC68" si="132">(3.12 * 10^(-3) - 5.57 * 10^(-9) * C5*1000) * C5</f>
        <v>3.2176050397850382E-2</v>
      </c>
      <c r="ED5" s="235">
        <f t="shared" ref="ED5:ED68" si="133">IF(B5 &lt; 18, (6.3696*10^(-4) * B5^5 - 3.5327*10^(-2) * B5^4 + 0.7073 * B5^3 - 6.0357 * B5^2 + 26.311 * B5 + 8.1692) / 1054, 0.15)</f>
        <v>2.7625341518026567E-2</v>
      </c>
      <c r="EE5" s="235">
        <f t="shared" ref="EE5:EE68" si="134">0.0022 * C5</f>
        <v>2.3122082899579177E-2</v>
      </c>
      <c r="EF5" s="235">
        <f t="shared" ref="EF5:EF68" si="135">(9.36 *D5/100 * SQRT(C5) + 7.98) / 1054</f>
        <v>2.8877573719357317E-2</v>
      </c>
      <c r="EG5" s="235">
        <f t="shared" ref="EG5:EG68" si="136">AVERAGE(EC5:EF5)</f>
        <v>2.7950262133703361E-2</v>
      </c>
      <c r="EH5" s="235">
        <f t="shared" ref="EH5:EH68" si="137">STDEV(EC5:EF5)</f>
        <v>3.7476250859093205E-3</v>
      </c>
      <c r="EI5" s="235">
        <f t="shared" si="24"/>
        <v>13.408192982169956</v>
      </c>
      <c r="EK5" s="236">
        <f t="shared" ref="EK5:EK68" si="138">IF(B5 &lt; 18, (0.038*B5^5 - 2.6629*B5^4 + 60.433*B5^3 - 479.37*B5^2 + 1592.3*B5 + 912.36)/916, (0.038*18^5 - 2.6629*18^4 + 60.433*18^3 - 479.37*18^2 + 1592.3*18 + 912.36)/916)</f>
        <v>2.2741245633187774</v>
      </c>
      <c r="EL5" s="236">
        <f t="shared" ref="EL5:EL68" si="139">IF(B5 &lt; 25, ((1.5334 * EXP(-0.103 * B5) + 0.67) * (C5/(D5/100)^2) + 0.6276 * B5 + 1.0301) * C5/100, (1.9224 * (C5/(D5/100)^2) - 0.018517 * (C5/(D5/100)^2)^2 + 0.05537 * B5 - 0.794894) * 0.979 * C5/100)</f>
        <v>4.3153603495259043</v>
      </c>
      <c r="EM5" s="236">
        <f t="shared" ref="EM5:EM68" si="140">IF(B5&lt;=25,((1.5334*EXP(-0.103*B5)+0.67)*(C5/(D5/100)^2)+0.6276*B5+1.0301)*C5/100, (1.9224*(C5/(D5/100)^2)-0.018517*(C5/(D5/100)^2)^2+0.05537*B5-0.794894) *C5/100)</f>
        <v>4.3153603495259043</v>
      </c>
      <c r="EN5" s="236">
        <f t="shared" ref="EN5:EN68" si="141">IF(B5 &lt;= 18, (2.54*10^(-2) * (B5 * 365.25 * 24) + 1.88 * 10^1 *(B5 * 365.25 * 24)^(5.2*10^(-1)) + 9.06 * 10^(-2)) / 1000, 14.4)</f>
        <v>2.3333891738139738</v>
      </c>
      <c r="EO5" s="236">
        <f t="shared" ref="EO5:EO68" si="142">6.132 * 10^(-1) + 8.475 * 10^(-2) * B5 + 8.151 * 10^(-5) * B5^2 + 1.341*10^(-1) * C5 + 2.297 * 10^(-3) * C5^2</f>
        <v>2.3611562321891593</v>
      </c>
      <c r="EP5" s="236">
        <f t="shared" ref="EP5:EP68" si="143">IF(B5 &lt; 25, ((1.5334 * EXP(-0.103 * B5) + 0.67) * (C5/(D5/100)^2) + 0.6276 * B5 + 1.0301) * C5 / 100, (1.9224 * (C5/(D5/100)^2) - 0.018517 * (C5/(D5/100)^2)^2 + 0.05537*B5 - 0.794894) * C5/100)</f>
        <v>4.3153603495259043</v>
      </c>
      <c r="EQ5" s="236">
        <f t="shared" ref="EQ5:EQ68" si="144">(9.217 * 10^(-2) + 1.401 * 10^(-5) * (C5*1000) - 6.787*10^(-10) * (C5*1000)^2 + 1.54 * 10^(-14) * (C5*1000)^3 - 1.558*10^(-19) *(C5*1000)^4 + 7.249 * 10^(-25) * (C5*1000)^5 - 1.274 * 10^(-30) * (C5*1000)^6) * (C5)</f>
        <v>1.8972158238726506</v>
      </c>
      <c r="ER5" s="236">
        <f t="shared" ref="ER5:ER68" si="145">AVERAGE(EK5:EQ5)</f>
        <v>3.1159952631103245</v>
      </c>
      <c r="ES5" s="236">
        <f t="shared" ref="ES5:ES68" si="146">STDEV(EK5:EQ5)</f>
        <v>1.1322436193843699</v>
      </c>
      <c r="ET5" s="236">
        <f t="shared" si="25"/>
        <v>36.336500019393057</v>
      </c>
      <c r="EV5" s="238">
        <f t="shared" ref="EV5:EV68" si="147">(2 * 10^(-4) + (1.71*10^(-3) - 2 * 10^(-4)) * EXP(-2.02 *B5)) * C5</f>
        <v>4.207270580690768E-3</v>
      </c>
      <c r="EW5" s="238">
        <f t="shared" ref="EW5:EW68" si="148">AVERAGE(EV5)</f>
        <v>4.207270580690768E-3</v>
      </c>
      <c r="EX5" s="238" t="e">
        <f t="shared" ref="EX5:EX68" si="149">STDEV(EV5)</f>
        <v>#DIV/0!</v>
      </c>
      <c r="EY5" s="238" t="e">
        <f t="shared" si="26"/>
        <v>#DIV/0!</v>
      </c>
      <c r="FA5" s="240">
        <f t="shared" ref="FA5:FA68" si="150">0.0062 *C5</f>
        <v>6.5162233626086766E-2</v>
      </c>
      <c r="FB5" s="240">
        <f t="shared" ref="FB5:FB68" si="151">(0.00833 * 1/(1+EXP(-1.92*B5 + 28.6))) * C5</f>
        <v>2.2660657006880392E-13</v>
      </c>
      <c r="FC5" s="240">
        <f t="shared" ref="FC5:FC68" si="152">AVERAGE(FA5:FB5)</f>
        <v>3.2581116813156688E-2</v>
      </c>
      <c r="FD5" s="240">
        <f t="shared" ref="FD5:FD68" si="153">STDEV(FA5:FB5)</f>
        <v>4.6076657274107785E-2</v>
      </c>
      <c r="FE5" s="240">
        <f t="shared" si="27"/>
        <v>141.42135623632589</v>
      </c>
      <c r="FG5" s="236">
        <f t="shared" ref="FG5:FG68" si="154">IF(B5 &lt; 18,  (8.2 * 10^(-2) * (B5 * 365.25 * 24) + 4.41*10^(-2) * (B5 * 365.25 * 24)^(1.04) + 9*10^1) / 20000, 1.2)</f>
        <v>6.8232748316178704E-2</v>
      </c>
      <c r="FH5" s="236">
        <f t="shared" ref="FH5:FH68" si="155">0.027 * (C5 - AVERAGE(EL5:EQ5))</f>
        <v>0.19585072715088553</v>
      </c>
      <c r="FI5" s="236">
        <f t="shared" ref="FI5:FI68" si="156">1.65 * 10^(-2) * C5</f>
        <v>0.17341562174684383</v>
      </c>
      <c r="FJ5" s="236">
        <f t="shared" ref="FJ5:FJ68" si="157">IF(B5 &lt; 18, (-0.0513 * B5^4 + 2.0352 * B5^3 - 23.478 * B5^2 + 110.61 * B5 + 49.229) / 1040, 0.92)</f>
        <v>0.13302394230769229</v>
      </c>
      <c r="FK5" s="236">
        <f t="shared" ref="FK5:FK68" si="158">IF(B5 &lt; 14.453301, (-7.421*10^(-5) * B5^2 + 1.276*10^(-3) * B5 + 1.298*10^(-2)) * C5, 0.016 * C5)</f>
        <v>0.14905114729291952</v>
      </c>
      <c r="FL5" s="236">
        <f t="shared" ref="FL5:FL68" si="159">IF(B5 &lt; 18, (-4.7817*10^(-2) * B5^4 + 1.925 * B5^3 - 22.382 * B5^2 + 107.09 * B5 + 51.125) / 1040, 0.9)</f>
        <v>0.13241363750000001</v>
      </c>
      <c r="FM5" s="236">
        <f t="shared" ref="FM5:FM68" si="160">AVERAGE(FG5:FL5)</f>
        <v>0.14199797071908662</v>
      </c>
      <c r="FN5" s="236">
        <f t="shared" ref="FN5:FN68" si="161">STDEV(FG5:FL5)</f>
        <v>4.370500231442561E-2</v>
      </c>
      <c r="FO5" s="236">
        <f t="shared" si="28"/>
        <v>30.778610492178682</v>
      </c>
      <c r="FQ5" s="227">
        <f t="shared" ref="FQ5:FQ68" si="162">IF(B5 &lt; 18,  (4.68*10^(-2)*(B5*365.25 *24)-3.81*10^(-2) *(B5*365.25*24)^(1.01)+2.8*10^1)/2000,0.32)</f>
        <v>3.6261980811508832E-2</v>
      </c>
      <c r="FR5" s="227">
        <f t="shared" ref="FR5:FR68" si="163">1.017*10^(-7) * (D5^(0.6862) * C5^(0.3561) *242.7)^1.42</f>
        <v>5.3967663394847029E-2</v>
      </c>
      <c r="FS5" s="227">
        <f t="shared" ref="FS5:FS68" si="164">1.017*10^(-7) * (D5^(0.6862) * C5^(0.3561) *242.7)^1.42</f>
        <v>5.3967663394847029E-2</v>
      </c>
      <c r="FT5" s="227">
        <f t="shared" ref="FT5:FT68" si="165">IF(B5 &lt; 18,  (4.246*10^(-4) * B5^5 - 2.97679*10^(-2) * B5^4 + 0.6539 * B5^3 - 5.5116 * B5^2 + 28.486 * B5 + 21.509) / 1030, 0.24)</f>
        <v>4.3794132718446607E-2</v>
      </c>
      <c r="FU5" s="227">
        <f t="shared" ref="FU5:FU68" si="166">0.004167 * C5</f>
        <v>4.3795327019339282E-2</v>
      </c>
      <c r="FV5" s="227">
        <f t="shared" si="29"/>
        <v>4.6357353467797749E-2</v>
      </c>
      <c r="FW5" s="227">
        <f t="shared" si="30"/>
        <v>7.5974381138207148E-3</v>
      </c>
      <c r="FX5" s="227">
        <f t="shared" si="31"/>
        <v>16.388852135612733</v>
      </c>
      <c r="FZ5" s="230">
        <f t="shared" ref="FZ5:FZ68" si="167">2.1 * 10^(-2) * C5</f>
        <v>0.22071079131416488</v>
      </c>
      <c r="GA5" s="230">
        <f t="shared" ref="GA5:GA68" si="168">IF(B5 &lt; 18,  (7.984*10^(-4) * B5^6 - 0.037966 * B5^5 + 0.5272 * B5^4 - 1.1311 * B5^3 - 12.285 * B5^2 + 123.87 * B5 + 53.358) / 1000, 2.47)</f>
        <v>0.16430193239999999</v>
      </c>
      <c r="GB5" s="230">
        <f t="shared" ref="GB5:GB68" si="169">(0.045 + (0.0138 - 0.045) * EXP(-0.136 * B5)) * C5</f>
        <v>0.18673509619650044</v>
      </c>
      <c r="GC5" s="230">
        <f t="shared" ref="GC5:GC68" si="170">AVERAGE(FZ5:GB5)</f>
        <v>0.19058260663688842</v>
      </c>
      <c r="GD5" s="230">
        <f t="shared" ref="GD5:GD68" si="171">STDEV(FZ5:GB5)</f>
        <v>2.8400569421073614E-2</v>
      </c>
      <c r="GE5" s="230">
        <f t="shared" si="32"/>
        <v>14.90197343936239</v>
      </c>
      <c r="GG5" s="231">
        <f t="shared" ref="GG5:GG68" si="172">0.0014 * C5</f>
        <v>1.4714052754277656E-2</v>
      </c>
      <c r="GH5" s="231">
        <f t="shared" ref="GH5:GH68" si="173">IF(B5 &lt; 18, (8.52*10^(-2) * (B5 * 365.25 * 24) + 8.31*10^(-2) * (B5 * 365.24 * 24)^(9.99*10^-1) + 1.1) / 500000, 0.05)</f>
        <v>2.9396292230100315E-3</v>
      </c>
      <c r="GI5" s="231">
        <f t="shared" ref="GI5:GI68" si="174">IF(B5 &lt; 18,  (0.0044 * B5^3 + 0.0412 * B5^2 + 0.2333 * B5 + 2.1725) / 1050, 0.05)</f>
        <v>2.3346666666666667E-3</v>
      </c>
      <c r="GJ5" s="231">
        <f t="shared" ref="GJ5:GJ68" si="175">IF(B5 &lt; 1, (-1.064*10^(-3) * B5 + 1.338*10^(-3)) * C5,  IF(B5 &lt; 20, (2.638*10^(-7) * B5^3 - 1.7943*10^(-6) * B5^2 - 5.6465*10^(-6) * B5 + 2.8105*10^(-4)) * C5, 0.001552 * C5))</f>
        <v>2.8784155499802038E-3</v>
      </c>
      <c r="GK5" s="245">
        <f>AVERAGE(GH5:GJ5)</f>
        <v>2.7175704798856342E-3</v>
      </c>
      <c r="GL5" s="231">
        <f>STDEV(GH5:GJ5)</f>
        <v>3.3301392774878047E-4</v>
      </c>
      <c r="GM5" s="231">
        <f t="shared" si="33"/>
        <v>12.254104547190806</v>
      </c>
      <c r="GO5" s="246">
        <f t="shared" ref="GO5:GO68" si="176">IF( B5&lt; 18,  (0.0008 * B5^5 - 0.0356 * B5^4 + 0.5823 * B5^3 - 4.0437 * B5^2 + 17.888 * B5 + 7.54)  / 1040, 0.18)</f>
        <v>2.1088269230769233E-2</v>
      </c>
      <c r="GP5" s="246">
        <f t="shared" ref="GP5:GP68" si="177">0.0023 * C5</f>
        <v>2.4173086667741865E-2</v>
      </c>
      <c r="GQ5" s="247">
        <f>AVERAGE(GN5:GP5)</f>
        <v>2.2630677949255551E-2</v>
      </c>
      <c r="GR5" s="246">
        <f>STDEV(GN5:GP5)</f>
        <v>2.1812953284058531E-3</v>
      </c>
      <c r="GS5" s="246">
        <f t="shared" si="34"/>
        <v>9.6386654138110259</v>
      </c>
      <c r="GU5" s="249">
        <f t="shared" ref="GU5:GU68" si="178">0.0002833 * C5</f>
        <v>2.9774936752049001E-3</v>
      </c>
      <c r="GV5" s="249">
        <f t="shared" ref="GV5:GV68" si="179">AVERAGE(GU5)</f>
        <v>2.9774936752049001E-3</v>
      </c>
      <c r="GW5" s="249" t="e">
        <f t="shared" ref="GW5:GW68" si="180">STDEV(GU5)</f>
        <v>#DIV/0!</v>
      </c>
      <c r="GX5" s="249" t="e">
        <f t="shared" si="35"/>
        <v>#DIV/0!</v>
      </c>
      <c r="GZ5" s="240">
        <f t="shared" ref="GZ5:GZ68" si="181">3*10^(-4) * C5</f>
        <v>3.1530113044880696E-3</v>
      </c>
      <c r="HA5" s="240">
        <f t="shared" ref="HA5:HA68" si="182">AVERAGE(GZ5)</f>
        <v>3.1530113044880696E-3</v>
      </c>
      <c r="HB5" s="240" t="e">
        <f t="shared" ref="HB5:HB68" si="183">STDEV(GZ5)</f>
        <v>#DIV/0!</v>
      </c>
      <c r="HC5" s="240" t="e">
        <f t="shared" si="36"/>
        <v>#DIV/0!</v>
      </c>
      <c r="HE5" s="234">
        <f t="shared" ref="HE5:HE68" si="184">1.19*10^(-3) * C5 - 4.302*10^(-4)</f>
        <v>1.2076744841136007E-2</v>
      </c>
      <c r="HF5" s="234">
        <f t="shared" ref="HF5:HF68" si="185">1.19*10^(-3) * C5 - 4.302*10^(-4)</f>
        <v>1.2076744841136007E-2</v>
      </c>
      <c r="HG5" s="251">
        <f>AVERAGE(HD5:HF5)</f>
        <v>1.2076744841136007E-2</v>
      </c>
      <c r="HH5" s="234">
        <f>STDEV(HD5:HF5)</f>
        <v>0</v>
      </c>
      <c r="HI5" s="234">
        <f t="shared" si="37"/>
        <v>0</v>
      </c>
    </row>
    <row r="6" spans="1:217" ht="17.100000000000001" customHeight="1" x14ac:dyDescent="0.25">
      <c r="B6">
        <v>2</v>
      </c>
      <c r="C6" s="124">
        <f t="shared" si="38"/>
        <v>13.741419989523116</v>
      </c>
      <c r="D6" s="124">
        <f t="shared" si="39"/>
        <v>83.388658509409623</v>
      </c>
      <c r="E6" s="29">
        <f t="shared" si="40"/>
        <v>0.70525245063185449</v>
      </c>
      <c r="F6" s="29">
        <f t="shared" si="41"/>
        <v>0.58595098932811329</v>
      </c>
      <c r="G6" s="29">
        <f t="shared" si="42"/>
        <v>0.54054558583197054</v>
      </c>
      <c r="H6" s="29">
        <f t="shared" si="43"/>
        <v>0.58570164848159068</v>
      </c>
      <c r="I6" s="29">
        <f t="shared" si="44"/>
        <v>0.58889391464674257</v>
      </c>
      <c r="J6" s="29">
        <f t="shared" si="45"/>
        <v>0.58570164848159068</v>
      </c>
      <c r="K6" s="29">
        <f t="shared" si="46"/>
        <v>0.57350935594175367</v>
      </c>
      <c r="L6" s="125">
        <f t="shared" si="0"/>
        <v>0.59507937047765946</v>
      </c>
      <c r="M6" s="126">
        <f t="shared" si="1"/>
        <v>5.1437303797022264E-2</v>
      </c>
      <c r="N6" s="126">
        <f t="shared" si="47"/>
        <v>8.6437719653656409</v>
      </c>
      <c r="P6" s="138">
        <f t="shared" si="48"/>
        <v>124.96666780030849</v>
      </c>
      <c r="Q6" s="138">
        <f t="shared" si="49"/>
        <v>120.3004</v>
      </c>
      <c r="R6" s="138">
        <f t="shared" si="50"/>
        <v>124.96666780030849</v>
      </c>
      <c r="S6" s="138">
        <f t="shared" si="51"/>
        <v>128.28718035746701</v>
      </c>
      <c r="T6" s="138">
        <f t="shared" si="52"/>
        <v>116.6407996836102</v>
      </c>
      <c r="U6" s="138">
        <f t="shared" si="53"/>
        <v>124.96666780030849</v>
      </c>
      <c r="V6" s="138">
        <f t="shared" si="54"/>
        <v>111.81271996289604</v>
      </c>
      <c r="W6" s="138">
        <f t="shared" si="55"/>
        <v>121.70587191498554</v>
      </c>
      <c r="X6" s="138">
        <f t="shared" si="56"/>
        <v>5.78383888941549</v>
      </c>
      <c r="Y6" s="138">
        <f t="shared" si="57"/>
        <v>4.7523088232387334</v>
      </c>
      <c r="AA6" s="227">
        <f t="shared" si="58"/>
        <v>0.34298785720000002</v>
      </c>
      <c r="AB6" s="227">
        <f t="shared" si="59"/>
        <v>0.36122549019607841</v>
      </c>
      <c r="AC6" s="227">
        <f t="shared" si="60"/>
        <v>0.38964108535271536</v>
      </c>
      <c r="AD6" s="227">
        <f t="shared" si="61"/>
        <v>0.34298785720000002</v>
      </c>
      <c r="AE6" s="227">
        <f t="shared" si="62"/>
        <v>0.35921057248719845</v>
      </c>
      <c r="AF6" s="227">
        <f t="shared" si="63"/>
        <v>2.2033527401144459E-2</v>
      </c>
      <c r="AG6" s="227">
        <f t="shared" si="64"/>
        <v>6.1338749716030945</v>
      </c>
      <c r="AI6" s="228">
        <f t="shared" si="65"/>
        <v>1.0340496406542061</v>
      </c>
      <c r="AJ6" s="228">
        <f t="shared" si="66"/>
        <v>1.0340496406542061</v>
      </c>
      <c r="AK6" s="228">
        <f t="shared" si="67"/>
        <v>1.0340496406542061</v>
      </c>
      <c r="AL6" s="228">
        <f t="shared" si="68"/>
        <v>1.2325392854390225</v>
      </c>
      <c r="AM6" s="228">
        <f t="shared" si="69"/>
        <v>0.60599199999999998</v>
      </c>
      <c r="AN6" s="228">
        <f t="shared" si="70"/>
        <v>0.80830330319172461</v>
      </c>
      <c r="AO6" s="228">
        <f t="shared" si="71"/>
        <v>1.0593501183684664</v>
      </c>
      <c r="AP6" s="228">
        <f t="shared" si="72"/>
        <v>0.97261908985169021</v>
      </c>
      <c r="AQ6" s="228">
        <f t="shared" si="73"/>
        <v>0.20323099249222154</v>
      </c>
      <c r="AR6" s="228">
        <f t="shared" si="74"/>
        <v>20.895229654932148</v>
      </c>
      <c r="AT6" s="229">
        <f t="shared" si="75"/>
        <v>1.0135726795096323</v>
      </c>
      <c r="AU6" s="229">
        <f t="shared" si="76"/>
        <v>0.78202802379240333</v>
      </c>
      <c r="AV6" s="229">
        <f t="shared" si="77"/>
        <v>0.89299319600870031</v>
      </c>
      <c r="AW6" s="229">
        <f t="shared" si="78"/>
        <v>1.0135726795096323</v>
      </c>
      <c r="AX6" s="229">
        <f t="shared" si="79"/>
        <v>0.16342075234231879</v>
      </c>
      <c r="AY6" s="229">
        <f t="shared" si="80"/>
        <v>1.0329945705137129</v>
      </c>
      <c r="AZ6" s="229">
        <f t="shared" si="81"/>
        <v>0.99703572215622005</v>
      </c>
      <c r="BA6" s="229">
        <f t="shared" si="82"/>
        <v>1.2261749336443686</v>
      </c>
      <c r="BB6" s="229">
        <f t="shared" si="83"/>
        <v>0.89022406968462364</v>
      </c>
      <c r="BC6" s="229">
        <f t="shared" si="84"/>
        <v>0.31960734874543767</v>
      </c>
      <c r="BD6" s="229">
        <f t="shared" si="85"/>
        <v>35.901899266626636</v>
      </c>
      <c r="BF6" s="230">
        <f t="shared" si="86"/>
        <v>3.1055085237924032</v>
      </c>
      <c r="BG6" s="230">
        <f t="shared" si="87"/>
        <v>1.6846999679999999</v>
      </c>
      <c r="BH6" s="230">
        <f t="shared" si="88"/>
        <v>2.2784338022340482</v>
      </c>
      <c r="BI6" s="230">
        <f t="shared" si="2"/>
        <v>2.3562140980088171</v>
      </c>
      <c r="BJ6" s="230">
        <f t="shared" si="3"/>
        <v>0.71359061713375271</v>
      </c>
      <c r="BK6" s="230">
        <f t="shared" si="89"/>
        <v>30.285474386083671</v>
      </c>
      <c r="BM6" s="227">
        <f t="shared" si="90"/>
        <v>2.4376895613986078</v>
      </c>
      <c r="BN6" s="227">
        <f t="shared" si="91"/>
        <v>2.7078448590033548</v>
      </c>
      <c r="BO6" s="227">
        <f t="shared" si="92"/>
        <v>3.7854651120341472</v>
      </c>
      <c r="BP6" s="227">
        <f t="shared" si="93"/>
        <v>2.7078448590033548</v>
      </c>
      <c r="BQ6" s="227">
        <f t="shared" si="94"/>
        <v>1.1959788461538459</v>
      </c>
      <c r="BR6" s="227">
        <f t="shared" si="95"/>
        <v>3.417541087027113</v>
      </c>
      <c r="BS6" s="227">
        <f t="shared" si="96"/>
        <v>2.2230788346265049</v>
      </c>
      <c r="BT6" s="227">
        <f t="shared" si="4"/>
        <v>2.6393490227495611</v>
      </c>
      <c r="BU6" s="227">
        <f t="shared" si="5"/>
        <v>0.8392271457267565</v>
      </c>
      <c r="BV6" s="227">
        <f t="shared" si="97"/>
        <v>31.796747549988119</v>
      </c>
      <c r="BX6" s="231">
        <f t="shared" si="98"/>
        <v>6.3678441389807161E-2</v>
      </c>
      <c r="BY6" s="231">
        <f t="shared" si="99"/>
        <v>9.3329196293210431E-2</v>
      </c>
      <c r="BZ6" s="231">
        <f t="shared" si="100"/>
        <v>8.7994258420071345E-2</v>
      </c>
      <c r="CA6" s="231">
        <f t="shared" si="101"/>
        <v>7.2551964952380962E-2</v>
      </c>
      <c r="CB6" s="231">
        <f t="shared" si="102"/>
        <v>8.5202940747185596E-2</v>
      </c>
      <c r="CC6" s="231">
        <f t="shared" si="103"/>
        <v>7.3009054946335278E-2</v>
      </c>
      <c r="CD6" s="231">
        <f t="shared" si="104"/>
        <v>5.2376096326395873E-2</v>
      </c>
      <c r="CE6" s="231">
        <f t="shared" si="105"/>
        <v>3.7842109386855081E-2</v>
      </c>
      <c r="CF6" s="231">
        <f t="shared" si="106"/>
        <v>7.0748007807780205E-2</v>
      </c>
      <c r="CG6" s="231">
        <f t="shared" si="107"/>
        <v>1.8879160722597623E-2</v>
      </c>
      <c r="CH6" s="231">
        <f t="shared" si="6"/>
        <v>26.685077513265991</v>
      </c>
      <c r="CJ6" s="232">
        <f t="shared" si="108"/>
        <v>0.38696859517606685</v>
      </c>
      <c r="CK6" s="232">
        <f t="shared" si="109"/>
        <v>0.38696859517606685</v>
      </c>
      <c r="CL6" s="232">
        <f t="shared" si="110"/>
        <v>0.6074094453005624</v>
      </c>
      <c r="CM6" s="232">
        <f t="shared" si="111"/>
        <v>0.47843870554924556</v>
      </c>
      <c r="CN6" s="232">
        <f t="shared" si="112"/>
        <v>0.34403226034445816</v>
      </c>
      <c r="CO6" s="232">
        <f t="shared" si="113"/>
        <v>0.38696859517606685</v>
      </c>
      <c r="CP6" s="232">
        <f t="shared" si="114"/>
        <v>0.38696859517606685</v>
      </c>
      <c r="CQ6" s="232">
        <f t="shared" si="115"/>
        <v>0.43520344681836698</v>
      </c>
      <c r="CR6" s="232">
        <f t="shared" si="116"/>
        <v>0.68844514147510816</v>
      </c>
      <c r="CS6" s="232">
        <f t="shared" si="117"/>
        <v>0.43442857142857139</v>
      </c>
      <c r="CT6" s="232">
        <f t="shared" si="118"/>
        <v>0.41638948024842798</v>
      </c>
      <c r="CU6" s="232">
        <f t="shared" si="119"/>
        <v>0.450201948351728</v>
      </c>
      <c r="CV6" s="232">
        <f t="shared" si="120"/>
        <v>0.10542969152830196</v>
      </c>
      <c r="CW6" s="232">
        <f t="shared" si="7"/>
        <v>23.418310807916185</v>
      </c>
      <c r="CY6" s="229">
        <f t="shared" si="8"/>
        <v>0.11335655972596267</v>
      </c>
      <c r="CZ6" s="229">
        <f t="shared" si="9"/>
        <v>8.112997132985024E-2</v>
      </c>
      <c r="DA6" s="229">
        <f t="shared" si="10"/>
        <v>4.6717572968967801E-2</v>
      </c>
      <c r="DB6" s="229">
        <f t="shared" si="11"/>
        <v>0.2469988004436848</v>
      </c>
      <c r="DC6" s="229">
        <f t="shared" si="12"/>
        <v>0.23158209523809523</v>
      </c>
      <c r="DD6" s="229">
        <f t="shared" si="13"/>
        <v>9.6189939926661819E-2</v>
      </c>
      <c r="DE6" s="229">
        <f t="shared" si="14"/>
        <v>0.19935853681498888</v>
      </c>
      <c r="DF6" s="229">
        <f t="shared" si="15"/>
        <v>0.14504763949260163</v>
      </c>
      <c r="DG6" s="229">
        <f t="shared" si="16"/>
        <v>7.9558777483445475E-2</v>
      </c>
      <c r="DH6" s="229">
        <f t="shared" si="17"/>
        <v>54.8501014988965</v>
      </c>
      <c r="DJ6" s="234">
        <f t="shared" si="121"/>
        <v>2.0337301584494212E-2</v>
      </c>
      <c r="DK6" s="234">
        <f t="shared" si="122"/>
        <v>2.7482839979046235E-2</v>
      </c>
      <c r="DL6" s="234">
        <f t="shared" si="123"/>
        <v>2.142780956641727E-2</v>
      </c>
      <c r="DM6" s="234">
        <f t="shared" si="18"/>
        <v>2.308265037665257E-2</v>
      </c>
      <c r="DN6" s="234">
        <f t="shared" si="19"/>
        <v>3.8494874096974847E-3</v>
      </c>
      <c r="DO6" s="234">
        <f t="shared" si="20"/>
        <v>16.676973167652921</v>
      </c>
      <c r="DQ6" s="229">
        <f t="shared" si="124"/>
        <v>0.39633738524069295</v>
      </c>
      <c r="DR6" s="229">
        <f t="shared" si="125"/>
        <v>0.44067329920073639</v>
      </c>
      <c r="DS6" s="229">
        <f t="shared" si="126"/>
        <v>0.89261905571648914</v>
      </c>
      <c r="DT6" s="229">
        <f t="shared" si="127"/>
        <v>1.0186725733439919</v>
      </c>
      <c r="DU6" s="229">
        <f t="shared" si="128"/>
        <v>0.44067329920073639</v>
      </c>
      <c r="DV6" s="229">
        <f>IF(B6 &lt; 18, (4.75522*10^(-3) * B6^5 - 0.27924 * B6^4 + 6.3444 * B6^3 - 70.113 * B6^2 + 429.85 * B6 + 252.06) / 1000, 1.97)</f>
        <v>0.87774752704000003</v>
      </c>
      <c r="DW6" s="229">
        <f t="shared" si="130"/>
        <v>7.3443308799999996E-2</v>
      </c>
      <c r="DX6" s="229">
        <f t="shared" si="131"/>
        <v>0.34513463338633016</v>
      </c>
      <c r="DY6" s="229">
        <f t="shared" si="21"/>
        <v>0.56066263524112214</v>
      </c>
      <c r="DZ6" s="229">
        <f t="shared" si="22"/>
        <v>0.32953292878139512</v>
      </c>
      <c r="EA6" s="229">
        <f t="shared" si="23"/>
        <v>58.775618004162887</v>
      </c>
      <c r="EC6" s="235">
        <f t="shared" si="132"/>
        <v>4.1821466075372578E-2</v>
      </c>
      <c r="ED6" s="235">
        <f t="shared" si="133"/>
        <v>3.9622344136622391E-2</v>
      </c>
      <c r="EE6" s="235">
        <f t="shared" si="134"/>
        <v>3.0231123976950859E-2</v>
      </c>
      <c r="EF6" s="235">
        <f t="shared" si="135"/>
        <v>3.5022148780384565E-2</v>
      </c>
      <c r="EG6" s="235">
        <f t="shared" si="136"/>
        <v>3.66742707423326E-2</v>
      </c>
      <c r="EH6" s="235">
        <f t="shared" si="137"/>
        <v>5.1454965342516779E-3</v>
      </c>
      <c r="EI6" s="235">
        <f t="shared" si="24"/>
        <v>14.03026271579629</v>
      </c>
      <c r="EK6" s="236">
        <f t="shared" si="138"/>
        <v>2.86195807860262</v>
      </c>
      <c r="EL6" s="236">
        <f t="shared" si="139"/>
        <v>5.5221693843901711</v>
      </c>
      <c r="EM6" s="236">
        <f t="shared" si="140"/>
        <v>5.5221693843901711</v>
      </c>
      <c r="EN6" s="236">
        <f t="shared" si="141"/>
        <v>3.4719698218240809</v>
      </c>
      <c r="EO6" s="236">
        <f t="shared" si="142"/>
        <v>3.0594852143805351</v>
      </c>
      <c r="EP6" s="236">
        <f t="shared" si="143"/>
        <v>5.5221693843901711</v>
      </c>
      <c r="EQ6" s="236">
        <f t="shared" si="144"/>
        <v>2.6284755629341086</v>
      </c>
      <c r="ER6" s="236">
        <f t="shared" si="145"/>
        <v>4.0840566901302662</v>
      </c>
      <c r="ES6" s="236">
        <f t="shared" si="146"/>
        <v>1.3687672581313646</v>
      </c>
      <c r="ET6" s="236">
        <f t="shared" si="25"/>
        <v>33.514893694771558</v>
      </c>
      <c r="EV6" s="238">
        <f t="shared" si="147"/>
        <v>3.1134235293224883E-3</v>
      </c>
      <c r="EW6" s="238">
        <f t="shared" si="148"/>
        <v>3.1134235293224883E-3</v>
      </c>
      <c r="EX6" s="238" t="e">
        <f t="shared" si="149"/>
        <v>#DIV/0!</v>
      </c>
      <c r="EY6" s="238" t="e">
        <f t="shared" si="26"/>
        <v>#DIV/0!</v>
      </c>
      <c r="FA6" s="240">
        <f t="shared" si="150"/>
        <v>8.5196803935043322E-2</v>
      </c>
      <c r="FB6" s="240">
        <f t="shared" si="151"/>
        <v>2.0209019500614468E-12</v>
      </c>
      <c r="FC6" s="240">
        <f t="shared" si="152"/>
        <v>4.259840196853211E-2</v>
      </c>
      <c r="FD6" s="240">
        <f t="shared" si="153"/>
        <v>6.0243237796460881E-2</v>
      </c>
      <c r="FE6" s="240">
        <f t="shared" si="27"/>
        <v>141.4213562306004</v>
      </c>
      <c r="FG6" s="236">
        <f t="shared" si="154"/>
        <v>0.13352818391267884</v>
      </c>
      <c r="FH6" s="236">
        <f t="shared" si="155"/>
        <v>0.25524936533173259</v>
      </c>
      <c r="FI6" s="236">
        <f t="shared" si="156"/>
        <v>0.22673342982713143</v>
      </c>
      <c r="FJ6" s="236">
        <f t="shared" si="157"/>
        <v>0.18461326923076921</v>
      </c>
      <c r="FK6" s="236">
        <f t="shared" si="158"/>
        <v>0.20935273216758302</v>
      </c>
      <c r="FL6" s="236">
        <f t="shared" si="159"/>
        <v>0.1830883923076923</v>
      </c>
      <c r="FM6" s="236">
        <f t="shared" si="160"/>
        <v>0.19876089546293121</v>
      </c>
      <c r="FN6" s="236">
        <f t="shared" si="161"/>
        <v>4.1920606510419747E-2</v>
      </c>
      <c r="FO6" s="236">
        <f t="shared" si="28"/>
        <v>21.090972855995165</v>
      </c>
      <c r="FQ6" s="227">
        <f t="shared" si="162"/>
        <v>5.5980144202700727E-2</v>
      </c>
      <c r="FR6" s="227">
        <f t="shared" si="163"/>
        <v>6.942465175145375E-2</v>
      </c>
      <c r="FS6" s="227">
        <f t="shared" si="164"/>
        <v>6.942465175145375E-2</v>
      </c>
      <c r="FT6" s="227">
        <f t="shared" si="165"/>
        <v>5.9420486213592236E-2</v>
      </c>
      <c r="FU6" s="227">
        <f t="shared" si="166"/>
        <v>5.7260497096342823E-2</v>
      </c>
      <c r="FV6" s="227">
        <f t="shared" si="29"/>
        <v>6.2302086203108661E-2</v>
      </c>
      <c r="FW6" s="227">
        <f t="shared" si="30"/>
        <v>6.6172137236624688E-3</v>
      </c>
      <c r="FX6" s="227">
        <f t="shared" si="31"/>
        <v>10.621175191613878</v>
      </c>
      <c r="FZ6" s="230">
        <f t="shared" si="167"/>
        <v>0.28856981977998547</v>
      </c>
      <c r="GA6" s="230">
        <f t="shared" si="168"/>
        <v>0.25018058560000001</v>
      </c>
      <c r="GB6" s="230">
        <f t="shared" si="169"/>
        <v>0.29173236710831063</v>
      </c>
      <c r="GC6" s="230">
        <f t="shared" si="170"/>
        <v>0.27682759082943204</v>
      </c>
      <c r="GD6" s="230">
        <f t="shared" si="171"/>
        <v>2.3131095784117268E-2</v>
      </c>
      <c r="GE6" s="230">
        <f t="shared" si="32"/>
        <v>8.3557768627078595</v>
      </c>
      <c r="GG6" s="231">
        <f t="shared" si="172"/>
        <v>1.9237987985332362E-2</v>
      </c>
      <c r="GH6" s="231">
        <f t="shared" si="173"/>
        <v>5.8750577424085309E-3</v>
      </c>
      <c r="GI6" s="231">
        <f t="shared" si="174"/>
        <v>2.703904761904762E-3</v>
      </c>
      <c r="GJ6" s="231">
        <f t="shared" si="175"/>
        <v>3.6372192053108717E-3</v>
      </c>
      <c r="GK6" s="245">
        <f t="shared" ref="GK6:GK68" si="186">AVERAGE(GH6:GJ6)</f>
        <v>4.0720605698747218E-3</v>
      </c>
      <c r="GL6" s="231">
        <f t="shared" ref="GL6:GL68" si="187">STDEV(GH6:GJ6)</f>
        <v>1.6296834249912764E-3</v>
      </c>
      <c r="GM6" s="231">
        <f t="shared" si="33"/>
        <v>40.021099809952339</v>
      </c>
      <c r="GO6" s="246">
        <f t="shared" si="176"/>
        <v>3.0053461538461539E-2</v>
      </c>
      <c r="GP6" s="246">
        <f t="shared" si="177"/>
        <v>3.1605265975903164E-2</v>
      </c>
      <c r="GQ6" s="247">
        <f t="shared" ref="GQ6:GQ69" si="188">AVERAGE(GN6:GP6)</f>
        <v>3.082936375718235E-2</v>
      </c>
      <c r="GR6" s="246">
        <f t="shared" ref="GR6:GR69" si="189">STDEV(GN6:GP6)</f>
        <v>1.0972914407903485E-3</v>
      </c>
      <c r="GS6" s="246">
        <f t="shared" si="34"/>
        <v>3.5592412786485457</v>
      </c>
      <c r="GU6" s="249">
        <f t="shared" si="178"/>
        <v>3.8929442830318989E-3</v>
      </c>
      <c r="GV6" s="249">
        <f t="shared" si="179"/>
        <v>3.8929442830318989E-3</v>
      </c>
      <c r="GW6" s="249" t="e">
        <f t="shared" si="180"/>
        <v>#DIV/0!</v>
      </c>
      <c r="GX6" s="249" t="e">
        <f t="shared" si="35"/>
        <v>#DIV/0!</v>
      </c>
      <c r="GZ6" s="240">
        <f t="shared" si="181"/>
        <v>4.1224259968569354E-3</v>
      </c>
      <c r="HA6" s="240">
        <f t="shared" si="182"/>
        <v>4.1224259968569354E-3</v>
      </c>
      <c r="HB6" s="240" t="e">
        <f t="shared" si="183"/>
        <v>#DIV/0!</v>
      </c>
      <c r="HC6" s="240" t="e">
        <f t="shared" si="36"/>
        <v>#DIV/0!</v>
      </c>
      <c r="HE6" s="234">
        <f t="shared" si="184"/>
        <v>1.5922089787532508E-2</v>
      </c>
      <c r="HF6" s="234">
        <f t="shared" si="185"/>
        <v>1.5922089787532508E-2</v>
      </c>
      <c r="HG6" s="251">
        <f t="shared" ref="HG6:HG69" si="190">AVERAGE(HD6:HF6)</f>
        <v>1.5922089787532508E-2</v>
      </c>
      <c r="HH6" s="234">
        <f t="shared" ref="HH6:HH69" si="191">STDEV(HD6:HF6)</f>
        <v>0</v>
      </c>
      <c r="HI6" s="234">
        <f t="shared" si="37"/>
        <v>0</v>
      </c>
    </row>
    <row r="7" spans="1:217" ht="17.100000000000001" customHeight="1" x14ac:dyDescent="0.25">
      <c r="B7">
        <v>3</v>
      </c>
      <c r="C7" s="124">
        <f t="shared" si="38"/>
        <v>15.401413314038429</v>
      </c>
      <c r="D7" s="124">
        <f t="shared" si="39"/>
        <v>92.442783044249524</v>
      </c>
      <c r="E7" s="29">
        <f t="shared" si="40"/>
        <v>0.78059380588839744</v>
      </c>
      <c r="F7" s="29">
        <f t="shared" si="41"/>
        <v>0.64902282394194111</v>
      </c>
      <c r="G7" s="29">
        <f t="shared" si="42"/>
        <v>0.61141698881162809</v>
      </c>
      <c r="H7" s="29">
        <f t="shared" si="43"/>
        <v>0.64874664401685944</v>
      </c>
      <c r="I7" s="29">
        <f t="shared" si="44"/>
        <v>0.65252004458161417</v>
      </c>
      <c r="J7" s="29">
        <f t="shared" si="45"/>
        <v>0.64874664401685944</v>
      </c>
      <c r="K7" s="29">
        <f t="shared" si="46"/>
        <v>0.63521747208819823</v>
      </c>
      <c r="L7" s="125">
        <f t="shared" si="0"/>
        <v>0.66089491762078545</v>
      </c>
      <c r="M7" s="126">
        <f t="shared" si="1"/>
        <v>5.4683127670056918E-2</v>
      </c>
      <c r="N7" s="126">
        <f t="shared" si="47"/>
        <v>8.2741032215704706</v>
      </c>
      <c r="P7" s="138">
        <f t="shared" si="48"/>
        <v>138.78793270036493</v>
      </c>
      <c r="Q7" s="138">
        <f t="shared" si="49"/>
        <v>154.78039999999999</v>
      </c>
      <c r="R7" s="138">
        <f t="shared" si="50"/>
        <v>138.78793270036493</v>
      </c>
      <c r="S7" s="138">
        <f t="shared" si="51"/>
        <v>140.55255134782792</v>
      </c>
      <c r="T7" s="138">
        <f t="shared" si="52"/>
        <v>127.51385411463274</v>
      </c>
      <c r="U7" s="138">
        <f t="shared" si="53"/>
        <v>138.78793270036493</v>
      </c>
      <c r="V7" s="138">
        <f t="shared" si="54"/>
        <v>144.52422418901821</v>
      </c>
      <c r="W7" s="138">
        <f t="shared" si="55"/>
        <v>140.53354682179625</v>
      </c>
      <c r="X7" s="138">
        <f t="shared" si="56"/>
        <v>8.1399487782412692</v>
      </c>
      <c r="Y7" s="138">
        <f t="shared" si="57"/>
        <v>5.7921748666623651</v>
      </c>
      <c r="AA7" s="227">
        <f t="shared" si="58"/>
        <v>0.35030012205</v>
      </c>
      <c r="AB7" s="227">
        <f t="shared" si="59"/>
        <v>0.36624999999999996</v>
      </c>
      <c r="AC7" s="227">
        <f t="shared" si="60"/>
        <v>0.39446232250426028</v>
      </c>
      <c r="AD7" s="227">
        <f t="shared" si="61"/>
        <v>0.35030012205</v>
      </c>
      <c r="AE7" s="227">
        <f t="shared" si="62"/>
        <v>0.36532814165106503</v>
      </c>
      <c r="AF7" s="227">
        <f t="shared" si="63"/>
        <v>2.0827330306292094E-2</v>
      </c>
      <c r="AG7" s="227">
        <f t="shared" si="64"/>
        <v>5.7009925959070662</v>
      </c>
      <c r="AI7" s="228">
        <f t="shared" si="65"/>
        <v>1.1737726350401188</v>
      </c>
      <c r="AJ7" s="228">
        <f t="shared" si="66"/>
        <v>1.1737726350401188</v>
      </c>
      <c r="AK7" s="228">
        <f t="shared" si="67"/>
        <v>1.1737726350401188</v>
      </c>
      <c r="AL7" s="228">
        <f t="shared" si="68"/>
        <v>1.381423755422261</v>
      </c>
      <c r="AM7" s="228">
        <f t="shared" si="69"/>
        <v>0.83891880000000008</v>
      </c>
      <c r="AN7" s="228">
        <f t="shared" si="70"/>
        <v>1.0133452298451471</v>
      </c>
      <c r="AO7" s="228">
        <f t="shared" si="71"/>
        <v>1.2245098876144238</v>
      </c>
      <c r="AP7" s="228">
        <f t="shared" si="72"/>
        <v>1.1399307968574555</v>
      </c>
      <c r="AQ7" s="228">
        <f t="shared" si="73"/>
        <v>0.17104600243421059</v>
      </c>
      <c r="AR7" s="228">
        <f t="shared" si="74"/>
        <v>15.004946169166383</v>
      </c>
      <c r="AT7" s="229">
        <f t="shared" si="75"/>
        <v>1.1139112903225807</v>
      </c>
      <c r="AU7" s="229">
        <f t="shared" si="76"/>
        <v>0.94987551714490459</v>
      </c>
      <c r="AV7" s="229">
        <f t="shared" si="77"/>
        <v>0.94854903052482109</v>
      </c>
      <c r="AW7" s="229">
        <f t="shared" si="78"/>
        <v>1.1139112903225807</v>
      </c>
      <c r="AX7" s="229">
        <f t="shared" si="79"/>
        <v>0.23348889757212271</v>
      </c>
      <c r="AY7" s="229">
        <f t="shared" si="80"/>
        <v>1.1100024085607127</v>
      </c>
      <c r="AZ7" s="229">
        <f t="shared" si="81"/>
        <v>1.1291792256479192</v>
      </c>
      <c r="BA7" s="229">
        <f t="shared" si="82"/>
        <v>1.2931281824973879</v>
      </c>
      <c r="BB7" s="229">
        <f t="shared" si="83"/>
        <v>0.9865057303241288</v>
      </c>
      <c r="BC7" s="229">
        <f t="shared" si="84"/>
        <v>0.32335422226632737</v>
      </c>
      <c r="BD7" s="229">
        <f t="shared" si="85"/>
        <v>32.777733805974478</v>
      </c>
      <c r="BF7" s="230">
        <f t="shared" si="86"/>
        <v>4.2376160171449042</v>
      </c>
      <c r="BG7" s="230">
        <f t="shared" si="87"/>
        <v>1.9429480269999995</v>
      </c>
      <c r="BH7" s="230">
        <f t="shared" si="88"/>
        <v>2.2788090538792001</v>
      </c>
      <c r="BI7" s="230">
        <f t="shared" si="2"/>
        <v>2.8197910326747011</v>
      </c>
      <c r="BJ7" s="230">
        <f t="shared" si="3"/>
        <v>1.2393027968519379</v>
      </c>
      <c r="BK7" s="230">
        <f t="shared" si="89"/>
        <v>43.950164479968656</v>
      </c>
      <c r="BM7" s="227">
        <f t="shared" si="90"/>
        <v>3.7802225611382512</v>
      </c>
      <c r="BN7" s="227">
        <f t="shared" si="91"/>
        <v>2.9814758714986755</v>
      </c>
      <c r="BO7" s="227">
        <f t="shared" si="92"/>
        <v>4.4302280960384568</v>
      </c>
      <c r="BP7" s="227">
        <f t="shared" si="93"/>
        <v>2.9814758714986755</v>
      </c>
      <c r="BQ7" s="227">
        <f t="shared" si="94"/>
        <v>1.6957668269230763</v>
      </c>
      <c r="BR7" s="227">
        <f t="shared" si="95"/>
        <v>4.0207829627689673</v>
      </c>
      <c r="BS7" s="227">
        <f t="shared" si="96"/>
        <v>3.135539099806548</v>
      </c>
      <c r="BT7" s="227">
        <f t="shared" si="4"/>
        <v>3.289355898524664</v>
      </c>
      <c r="BU7" s="227">
        <f t="shared" si="5"/>
        <v>0.89724494617443173</v>
      </c>
      <c r="BV7" s="227">
        <f t="shared" si="97"/>
        <v>27.277223075096934</v>
      </c>
      <c r="BX7" s="231">
        <f t="shared" si="98"/>
        <v>7.4720710484314612E-2</v>
      </c>
      <c r="BY7" s="231">
        <f t="shared" si="99"/>
        <v>9.8762562852245939E-2</v>
      </c>
      <c r="BZ7" s="231">
        <f t="shared" si="100"/>
        <v>9.7161883153553494E-2</v>
      </c>
      <c r="CA7" s="231">
        <f t="shared" si="101"/>
        <v>8.3109906476190501E-2</v>
      </c>
      <c r="CB7" s="231">
        <f t="shared" si="102"/>
        <v>9.0608127500300673E-2</v>
      </c>
      <c r="CC7" s="231">
        <f t="shared" si="103"/>
        <v>8.3862584383729039E-2</v>
      </c>
      <c r="CD7" s="231">
        <f t="shared" si="104"/>
        <v>7.8452220270696746E-2</v>
      </c>
      <c r="CE7" s="231">
        <f t="shared" si="105"/>
        <v>6.8313981406943877E-2</v>
      </c>
      <c r="CF7" s="231">
        <f t="shared" si="106"/>
        <v>8.4373997065996867E-2</v>
      </c>
      <c r="CG7" s="231">
        <f t="shared" si="107"/>
        <v>1.0673479760648041E-2</v>
      </c>
      <c r="CH7" s="231">
        <f t="shared" si="6"/>
        <v>12.650200454885768</v>
      </c>
      <c r="CJ7" s="232">
        <f t="shared" si="108"/>
        <v>0.42296877888040973</v>
      </c>
      <c r="CK7" s="232">
        <f t="shared" si="109"/>
        <v>0.42296877888040973</v>
      </c>
      <c r="CL7" s="232">
        <f t="shared" si="110"/>
        <v>0.74224052689433873</v>
      </c>
      <c r="CM7" s="232">
        <f t="shared" si="111"/>
        <v>0.51586250237245612</v>
      </c>
      <c r="CN7" s="232">
        <f t="shared" si="112"/>
        <v>0.38309432115096098</v>
      </c>
      <c r="CO7" s="232">
        <f t="shared" si="113"/>
        <v>0.42296877888040973</v>
      </c>
      <c r="CP7" s="232">
        <f t="shared" si="114"/>
        <v>0.42296877888040973</v>
      </c>
      <c r="CQ7" s="232">
        <f t="shared" si="115"/>
        <v>0.47709039972477785</v>
      </c>
      <c r="CR7" s="232">
        <f t="shared" si="116"/>
        <v>0.7716108070333253</v>
      </c>
      <c r="CS7" s="232">
        <f t="shared" si="117"/>
        <v>0.49784599999999996</v>
      </c>
      <c r="CT7" s="232">
        <f t="shared" si="118"/>
        <v>0.4848103548653564</v>
      </c>
      <c r="CU7" s="232">
        <f t="shared" si="119"/>
        <v>0.50585727523298674</v>
      </c>
      <c r="CV7" s="232">
        <f t="shared" si="120"/>
        <v>0.13057163804597649</v>
      </c>
      <c r="CW7" s="232">
        <f t="shared" si="7"/>
        <v>25.811952192609677</v>
      </c>
      <c r="CY7" s="229">
        <f t="shared" si="8"/>
        <v>0.16922190906863485</v>
      </c>
      <c r="CZ7" s="229">
        <f t="shared" si="9"/>
        <v>9.406873350298027E-2</v>
      </c>
      <c r="DA7" s="229">
        <f t="shared" si="10"/>
        <v>8.4810464463027244E-2</v>
      </c>
      <c r="DB7" s="229">
        <f t="shared" si="11"/>
        <v>0.27567352693193709</v>
      </c>
      <c r="DC7" s="229">
        <f t="shared" si="12"/>
        <v>0.26661895238095235</v>
      </c>
      <c r="DD7" s="229">
        <f t="shared" si="13"/>
        <v>0.107809893198269</v>
      </c>
      <c r="DE7" s="229">
        <f t="shared" si="14"/>
        <v>0.23348331826123406</v>
      </c>
      <c r="DF7" s="229">
        <f t="shared" si="15"/>
        <v>0.17595525682957641</v>
      </c>
      <c r="DG7" s="229">
        <f t="shared" si="16"/>
        <v>8.2840229126006956E-2</v>
      </c>
      <c r="DH7" s="229">
        <f t="shared" si="17"/>
        <v>47.080280872905583</v>
      </c>
      <c r="DJ7" s="234">
        <f t="shared" si="121"/>
        <v>2.2794091704776875E-2</v>
      </c>
      <c r="DK7" s="234">
        <f t="shared" si="122"/>
        <v>3.080282662807686E-2</v>
      </c>
      <c r="DL7" s="234">
        <f t="shared" si="123"/>
        <v>2.5495536029373551E-2</v>
      </c>
      <c r="DM7" s="234">
        <f t="shared" si="18"/>
        <v>2.6364151454075762E-2</v>
      </c>
      <c r="DN7" s="234">
        <f t="shared" si="19"/>
        <v>4.0744114096325805E-3</v>
      </c>
      <c r="DO7" s="234">
        <f t="shared" si="20"/>
        <v>15.45436202158783</v>
      </c>
      <c r="DQ7" s="229">
        <f t="shared" si="124"/>
        <v>0.59027947168404438</v>
      </c>
      <c r="DR7" s="229">
        <f t="shared" si="125"/>
        <v>0.48967223703442936</v>
      </c>
      <c r="DS7" s="229">
        <f t="shared" si="126"/>
        <v>0.99134237643117806</v>
      </c>
      <c r="DT7" s="229">
        <f t="shared" si="127"/>
        <v>1.0997606498524455</v>
      </c>
      <c r="DU7" s="229">
        <f t="shared" si="128"/>
        <v>0.48967223703442936</v>
      </c>
      <c r="DV7" s="229">
        <f t="shared" si="129"/>
        <v>1.06042887846</v>
      </c>
      <c r="DW7" s="229">
        <f t="shared" si="130"/>
        <v>0.10010513579999999</v>
      </c>
      <c r="DX7" s="229">
        <f t="shared" si="131"/>
        <v>0.38447242886860539</v>
      </c>
      <c r="DY7" s="229">
        <f t="shared" si="21"/>
        <v>0.6507166768956415</v>
      </c>
      <c r="DZ7" s="229">
        <f t="shared" si="22"/>
        <v>0.36156658994141228</v>
      </c>
      <c r="EA7" s="229">
        <f t="shared" si="23"/>
        <v>55.564365073034452</v>
      </c>
      <c r="EC7" s="235">
        <f t="shared" si="132"/>
        <v>4.6731185866170893E-2</v>
      </c>
      <c r="ED7" s="235">
        <f t="shared" si="133"/>
        <v>4.6652081859582542E-2</v>
      </c>
      <c r="EE7" s="235">
        <f t="shared" si="134"/>
        <v>3.3883109290884547E-2</v>
      </c>
      <c r="EF7" s="235">
        <f t="shared" si="135"/>
        <v>3.9788412709939595E-2</v>
      </c>
      <c r="EG7" s="235">
        <f t="shared" si="136"/>
        <v>4.1763697431644396E-2</v>
      </c>
      <c r="EH7" s="235">
        <f t="shared" si="137"/>
        <v>6.1800124821488793E-3</v>
      </c>
      <c r="EI7" s="235">
        <f t="shared" si="24"/>
        <v>14.797570287601685</v>
      </c>
      <c r="EK7" s="236">
        <f t="shared" si="138"/>
        <v>3.0569433406113533</v>
      </c>
      <c r="EL7" s="236">
        <f t="shared" si="139"/>
        <v>5.4332396967208316</v>
      </c>
      <c r="EM7" s="236">
        <f t="shared" si="140"/>
        <v>5.4332396967208316</v>
      </c>
      <c r="EN7" s="236">
        <f t="shared" si="141"/>
        <v>4.4050130450665792</v>
      </c>
      <c r="EO7" s="236">
        <f t="shared" si="142"/>
        <v>3.4783696285769756</v>
      </c>
      <c r="EP7" s="236">
        <f t="shared" si="143"/>
        <v>5.4332396967208316</v>
      </c>
      <c r="EQ7" s="236">
        <f t="shared" si="144"/>
        <v>3.0041861367140998</v>
      </c>
      <c r="ER7" s="236">
        <f t="shared" si="145"/>
        <v>4.3206044630187863</v>
      </c>
      <c r="ES7" s="236">
        <f t="shared" si="146"/>
        <v>1.1372593120459213</v>
      </c>
      <c r="ET7" s="236">
        <f t="shared" si="25"/>
        <v>26.321764044360673</v>
      </c>
      <c r="EV7" s="238">
        <f t="shared" si="147"/>
        <v>3.1345718029010222E-3</v>
      </c>
      <c r="EW7" s="238">
        <f t="shared" si="148"/>
        <v>3.1345718029010222E-3</v>
      </c>
      <c r="EX7" s="238" t="e">
        <f t="shared" si="149"/>
        <v>#DIV/0!</v>
      </c>
      <c r="EY7" s="238" t="e">
        <f t="shared" si="26"/>
        <v>#DIV/0!</v>
      </c>
      <c r="FA7" s="240">
        <f t="shared" si="150"/>
        <v>9.5488762547038253E-2</v>
      </c>
      <c r="FB7" s="240">
        <f t="shared" si="151"/>
        <v>1.5449684336680766E-11</v>
      </c>
      <c r="FC7" s="240">
        <f t="shared" si="152"/>
        <v>4.7744381281243968E-2</v>
      </c>
      <c r="FD7" s="240">
        <f t="shared" si="153"/>
        <v>6.7520751513198196E-2</v>
      </c>
      <c r="FE7" s="240">
        <f t="shared" si="27"/>
        <v>141.42135619154675</v>
      </c>
      <c r="FG7" s="236">
        <f t="shared" si="154"/>
        <v>0.19944387763854984</v>
      </c>
      <c r="FH7" s="236">
        <f t="shared" si="155"/>
        <v>0.29349536392669689</v>
      </c>
      <c r="FI7" s="236">
        <f t="shared" si="156"/>
        <v>0.2541233196816341</v>
      </c>
      <c r="FJ7" s="236">
        <f t="shared" si="157"/>
        <v>0.21206932692307687</v>
      </c>
      <c r="FK7" s="236">
        <f t="shared" si="158"/>
        <v>0.24858050504404477</v>
      </c>
      <c r="FL7" s="236">
        <f t="shared" si="159"/>
        <v>0.21063348365384613</v>
      </c>
      <c r="FM7" s="236">
        <f t="shared" si="160"/>
        <v>0.2363909794779748</v>
      </c>
      <c r="FN7" s="236">
        <f t="shared" si="161"/>
        <v>3.5620249449872028E-2</v>
      </c>
      <c r="FO7" s="236">
        <f t="shared" si="28"/>
        <v>15.068362392056024</v>
      </c>
      <c r="FQ7" s="227">
        <f t="shared" si="162"/>
        <v>7.4725867999169054E-2</v>
      </c>
      <c r="FR7" s="227">
        <f t="shared" si="163"/>
        <v>8.1316526153396587E-2</v>
      </c>
      <c r="FS7" s="227">
        <f t="shared" si="164"/>
        <v>8.1316526153396587E-2</v>
      </c>
      <c r="FT7" s="227">
        <f t="shared" si="165"/>
        <v>7.0592114466019429E-2</v>
      </c>
      <c r="FU7" s="227">
        <f t="shared" si="166"/>
        <v>6.4177689279598132E-2</v>
      </c>
      <c r="FV7" s="227">
        <f t="shared" si="29"/>
        <v>7.4425744810315969E-2</v>
      </c>
      <c r="FW7" s="227">
        <f t="shared" si="30"/>
        <v>7.3276048737321194E-3</v>
      </c>
      <c r="FX7" s="227">
        <f t="shared" si="31"/>
        <v>9.8455244114889382</v>
      </c>
      <c r="FZ7" s="230">
        <f t="shared" si="167"/>
        <v>0.32342967959480701</v>
      </c>
      <c r="GA7" s="230">
        <f t="shared" si="168"/>
        <v>0.31792279560000003</v>
      </c>
      <c r="GB7" s="230">
        <f t="shared" si="169"/>
        <v>0.373525224926819</v>
      </c>
      <c r="GC7" s="230">
        <f t="shared" si="170"/>
        <v>0.3382925667072087</v>
      </c>
      <c r="GD7" s="230">
        <f t="shared" si="171"/>
        <v>3.0636360696857767E-2</v>
      </c>
      <c r="GE7" s="230">
        <f t="shared" si="32"/>
        <v>9.0561731802323209</v>
      </c>
      <c r="GG7" s="231">
        <f t="shared" si="172"/>
        <v>2.1561978639653801E-2</v>
      </c>
      <c r="GH7" s="231">
        <f t="shared" si="173"/>
        <v>8.8097320727990123E-3</v>
      </c>
      <c r="GI7" s="231">
        <f t="shared" si="174"/>
        <v>3.2019047619047621E-3</v>
      </c>
      <c r="GJ7" s="231">
        <f t="shared" si="175"/>
        <v>3.9286602743635046E-3</v>
      </c>
      <c r="GK7" s="245">
        <f t="shared" si="186"/>
        <v>5.3134323696890926E-3</v>
      </c>
      <c r="GL7" s="231">
        <f t="shared" si="187"/>
        <v>3.049610975878264E-3</v>
      </c>
      <c r="GM7" s="231">
        <f t="shared" si="33"/>
        <v>57.394368906905036</v>
      </c>
      <c r="GO7" s="246">
        <f t="shared" si="176"/>
        <v>3.6388076923076926E-2</v>
      </c>
      <c r="GP7" s="246">
        <f t="shared" si="177"/>
        <v>3.5423250622288384E-2</v>
      </c>
      <c r="GQ7" s="247">
        <f t="shared" si="188"/>
        <v>3.5905663772682658E-2</v>
      </c>
      <c r="GR7" s="246">
        <f t="shared" si="189"/>
        <v>6.8223521995470951E-4</v>
      </c>
      <c r="GS7" s="246">
        <f t="shared" si="34"/>
        <v>1.9000768911387178</v>
      </c>
      <c r="GU7" s="249">
        <f t="shared" si="178"/>
        <v>4.3632203918670866E-3</v>
      </c>
      <c r="GV7" s="249">
        <f t="shared" si="179"/>
        <v>4.3632203918670866E-3</v>
      </c>
      <c r="GW7" s="249" t="e">
        <f t="shared" si="180"/>
        <v>#DIV/0!</v>
      </c>
      <c r="GX7" s="249" t="e">
        <f t="shared" si="35"/>
        <v>#DIV/0!</v>
      </c>
      <c r="GZ7" s="240">
        <f t="shared" si="181"/>
        <v>4.6204239942115293E-3</v>
      </c>
      <c r="HA7" s="240">
        <f t="shared" si="182"/>
        <v>4.6204239942115293E-3</v>
      </c>
      <c r="HB7" s="240" t="e">
        <f t="shared" si="183"/>
        <v>#DIV/0!</v>
      </c>
      <c r="HC7" s="240" t="e">
        <f t="shared" si="36"/>
        <v>#DIV/0!</v>
      </c>
      <c r="HE7" s="234">
        <f t="shared" si="184"/>
        <v>1.789748184370573E-2</v>
      </c>
      <c r="HF7" s="234">
        <f t="shared" si="185"/>
        <v>1.789748184370573E-2</v>
      </c>
      <c r="HG7" s="251">
        <f t="shared" si="190"/>
        <v>1.789748184370573E-2</v>
      </c>
      <c r="HH7" s="234">
        <f t="shared" si="191"/>
        <v>0</v>
      </c>
      <c r="HI7" s="234">
        <f t="shared" si="37"/>
        <v>0</v>
      </c>
    </row>
    <row r="8" spans="1:217" ht="15.6" x14ac:dyDescent="0.25">
      <c r="B8">
        <v>4</v>
      </c>
      <c r="C8" s="124">
        <f t="shared" si="38"/>
        <v>16.644148486922436</v>
      </c>
      <c r="D8" s="124">
        <f t="shared" si="39"/>
        <v>101.125652839937</v>
      </c>
      <c r="E8" s="29">
        <f t="shared" si="40"/>
        <v>0.84499366508640528</v>
      </c>
      <c r="F8" s="29">
        <f t="shared" si="41"/>
        <v>0.70156685279999742</v>
      </c>
      <c r="G8" s="29">
        <f t="shared" si="42"/>
        <v>0.67441460406336728</v>
      </c>
      <c r="H8" s="29">
        <f t="shared" si="43"/>
        <v>0.70126831371369958</v>
      </c>
      <c r="I8" s="29">
        <f t="shared" si="44"/>
        <v>0.70549424824208795</v>
      </c>
      <c r="J8" s="29">
        <f t="shared" si="45"/>
        <v>0.70126831371369958</v>
      </c>
      <c r="K8" s="29">
        <f t="shared" si="46"/>
        <v>0.68628073661646327</v>
      </c>
      <c r="L8" s="125">
        <f t="shared" si="0"/>
        <v>0.71646953346224573</v>
      </c>
      <c r="M8" s="126">
        <f t="shared" si="1"/>
        <v>5.7739550124902554E-2</v>
      </c>
      <c r="N8" s="126">
        <f t="shared" si="47"/>
        <v>8.0588981705730998</v>
      </c>
      <c r="P8" s="138">
        <f t="shared" si="48"/>
        <v>150.45860202707161</v>
      </c>
      <c r="Q8" s="138">
        <f t="shared" si="49"/>
        <v>187.04759999999999</v>
      </c>
      <c r="R8" s="138">
        <f t="shared" si="50"/>
        <v>150.45860202707161</v>
      </c>
      <c r="S8" s="138">
        <f t="shared" si="51"/>
        <v>150.63338347968784</v>
      </c>
      <c r="T8" s="138">
        <f t="shared" si="52"/>
        <v>135.48608966651409</v>
      </c>
      <c r="U8" s="138">
        <f t="shared" si="53"/>
        <v>150.45860202707161</v>
      </c>
      <c r="V8" s="138">
        <f t="shared" si="54"/>
        <v>174.19779646216139</v>
      </c>
      <c r="W8" s="138">
        <f t="shared" si="55"/>
        <v>156.96295366993974</v>
      </c>
      <c r="X8" s="138">
        <f t="shared" si="56"/>
        <v>17.465989178851558</v>
      </c>
      <c r="Y8" s="138">
        <f t="shared" si="57"/>
        <v>11.127459550473853</v>
      </c>
      <c r="AA8" s="227">
        <f t="shared" si="58"/>
        <v>0.35728796960000003</v>
      </c>
      <c r="AB8" s="227">
        <f t="shared" si="59"/>
        <v>0.37045081967213112</v>
      </c>
      <c r="AC8" s="227">
        <f t="shared" si="60"/>
        <v>0.39928357791254776</v>
      </c>
      <c r="AD8" s="227">
        <f t="shared" si="61"/>
        <v>0.35728796960000003</v>
      </c>
      <c r="AE8" s="227">
        <f t="shared" si="62"/>
        <v>0.37107758419616971</v>
      </c>
      <c r="AF8" s="227">
        <f t="shared" si="63"/>
        <v>1.9801328715675817E-2</v>
      </c>
      <c r="AG8" s="227">
        <f t="shared" si="64"/>
        <v>5.3361694586240134</v>
      </c>
      <c r="AI8" s="228">
        <f t="shared" si="65"/>
        <v>1.2940465356818855</v>
      </c>
      <c r="AJ8" s="228">
        <f t="shared" si="66"/>
        <v>1.2940465356818855</v>
      </c>
      <c r="AK8" s="228">
        <f t="shared" si="67"/>
        <v>1.2940465356818855</v>
      </c>
      <c r="AL8" s="228">
        <f t="shared" si="68"/>
        <v>1.4928831626048653</v>
      </c>
      <c r="AM8" s="228">
        <f t="shared" si="69"/>
        <v>1.0950055999999999</v>
      </c>
      <c r="AN8" s="228">
        <f t="shared" si="70"/>
        <v>1.1807225783434883</v>
      </c>
      <c r="AO8" s="228">
        <f t="shared" si="71"/>
        <v>1.3639707160467676</v>
      </c>
      <c r="AP8" s="228">
        <f t="shared" si="72"/>
        <v>1.2878173805772539</v>
      </c>
      <c r="AQ8" s="228">
        <f t="shared" si="73"/>
        <v>0.12689457039641303</v>
      </c>
      <c r="AR8" s="228">
        <f t="shared" si="74"/>
        <v>9.8534599944235524</v>
      </c>
      <c r="AT8" s="229">
        <f t="shared" si="75"/>
        <v>1.1763904034896402</v>
      </c>
      <c r="AU8" s="229">
        <f t="shared" si="76"/>
        <v>1.0716642379574257</v>
      </c>
      <c r="AV8" s="229">
        <f t="shared" si="77"/>
        <v>1.0025813241223709</v>
      </c>
      <c r="AW8" s="229">
        <f t="shared" si="78"/>
        <v>1.1763904034896402</v>
      </c>
      <c r="AX8" s="229">
        <f t="shared" si="79"/>
        <v>0.30017332398422403</v>
      </c>
      <c r="AY8" s="229">
        <f t="shared" si="80"/>
        <v>1.1553708614703229</v>
      </c>
      <c r="AZ8" s="229">
        <f t="shared" si="81"/>
        <v>1.203685882844278</v>
      </c>
      <c r="BA8" s="229">
        <f t="shared" si="82"/>
        <v>1.3134387362662274</v>
      </c>
      <c r="BB8" s="229">
        <f t="shared" si="83"/>
        <v>1.0499618967030162</v>
      </c>
      <c r="BC8" s="229">
        <f t="shared" si="84"/>
        <v>0.31646017746877014</v>
      </c>
      <c r="BD8" s="229">
        <f t="shared" si="85"/>
        <v>30.140158272646488</v>
      </c>
      <c r="BF8" s="230">
        <f t="shared" si="86"/>
        <v>5.3236647379574258</v>
      </c>
      <c r="BG8" s="230">
        <f t="shared" si="87"/>
        <v>2.0861500159999999</v>
      </c>
      <c r="BH8" s="230">
        <f t="shared" si="88"/>
        <v>2.2798287654596621</v>
      </c>
      <c r="BI8" s="230">
        <f t="shared" si="2"/>
        <v>3.2298811731390291</v>
      </c>
      <c r="BJ8" s="230">
        <f t="shared" si="3"/>
        <v>1.8158538148005718</v>
      </c>
      <c r="BK8" s="230">
        <f t="shared" si="89"/>
        <v>56.220452625376168</v>
      </c>
      <c r="BM8" s="227">
        <f t="shared" si="90"/>
        <v>5.192296109783376</v>
      </c>
      <c r="BN8" s="227">
        <f t="shared" si="91"/>
        <v>3.8760325319432249</v>
      </c>
      <c r="BO8" s="227">
        <f t="shared" si="92"/>
        <v>4.927170549887836</v>
      </c>
      <c r="BP8" s="227">
        <f t="shared" si="93"/>
        <v>3.8760325319432249</v>
      </c>
      <c r="BQ8" s="227">
        <f t="shared" si="94"/>
        <v>2.1841365384615368</v>
      </c>
      <c r="BR8" s="227">
        <f t="shared" si="95"/>
        <v>4.4918179584065721</v>
      </c>
      <c r="BS8" s="227">
        <f t="shared" si="96"/>
        <v>4.1159625381333109</v>
      </c>
      <c r="BT8" s="227">
        <f t="shared" si="4"/>
        <v>4.094778394079869</v>
      </c>
      <c r="BU8" s="227">
        <f t="shared" si="5"/>
        <v>0.98334148237681318</v>
      </c>
      <c r="BV8" s="227">
        <f t="shared" si="97"/>
        <v>24.01452258804785</v>
      </c>
      <c r="BX8" s="231">
        <f t="shared" si="98"/>
        <v>8.4962380706023646E-2</v>
      </c>
      <c r="BY8" s="231">
        <f t="shared" si="99"/>
        <v>0.10273072741182812</v>
      </c>
      <c r="BZ8" s="231">
        <f t="shared" si="100"/>
        <v>0.10383879261035049</v>
      </c>
      <c r="CA8" s="231">
        <f t="shared" si="101"/>
        <v>9.0499640380952387E-2</v>
      </c>
      <c r="CB8" s="231">
        <f t="shared" si="102"/>
        <v>9.3684693289097926E-2</v>
      </c>
      <c r="CC8" s="231">
        <f t="shared" si="103"/>
        <v>9.3985852359624894E-2</v>
      </c>
      <c r="CD8" s="231">
        <f t="shared" si="104"/>
        <v>0.10477910851293108</v>
      </c>
      <c r="CE8" s="231">
        <f t="shared" si="105"/>
        <v>0.10469372854514147</v>
      </c>
      <c r="CF8" s="231">
        <f t="shared" si="106"/>
        <v>9.7396865476993749E-2</v>
      </c>
      <c r="CG8" s="231">
        <f t="shared" si="107"/>
        <v>7.609144776354832E-3</v>
      </c>
      <c r="CH8" s="231">
        <f t="shared" si="6"/>
        <v>7.8125150528095784</v>
      </c>
      <c r="CJ8" s="232">
        <f t="shared" si="108"/>
        <v>0.44936070886529789</v>
      </c>
      <c r="CK8" s="232">
        <f t="shared" si="109"/>
        <v>0.44936070886529789</v>
      </c>
      <c r="CL8" s="232">
        <f t="shared" si="110"/>
        <v>0.86309158510298567</v>
      </c>
      <c r="CM8" s="232">
        <f t="shared" si="111"/>
        <v>0.53799941775560711</v>
      </c>
      <c r="CN8" s="232">
        <f t="shared" si="112"/>
        <v>0.4115807654752926</v>
      </c>
      <c r="CO8" s="232">
        <f t="shared" si="113"/>
        <v>0.44936070886529789</v>
      </c>
      <c r="CP8" s="232">
        <f t="shared" si="114"/>
        <v>0.44936070886529789</v>
      </c>
      <c r="CQ8" s="232">
        <f t="shared" si="115"/>
        <v>0.50742956033800701</v>
      </c>
      <c r="CR8" s="232">
        <f t="shared" si="116"/>
        <v>0.833871839194814</v>
      </c>
      <c r="CS8" s="232">
        <f t="shared" si="117"/>
        <v>0.53560266666666667</v>
      </c>
      <c r="CT8" s="232">
        <f t="shared" si="118"/>
        <v>0.54826404025208675</v>
      </c>
      <c r="CU8" s="232">
        <f t="shared" si="119"/>
        <v>0.54866206456787747</v>
      </c>
      <c r="CV8" s="232">
        <f t="shared" si="120"/>
        <v>0.1550578524951523</v>
      </c>
      <c r="CW8" s="232">
        <f t="shared" si="7"/>
        <v>28.261085011823226</v>
      </c>
      <c r="CY8" s="229">
        <f t="shared" si="8"/>
        <v>0.22507250705241935</v>
      </c>
      <c r="CZ8" s="229">
        <f t="shared" si="9"/>
        <v>0.10407950211000236</v>
      </c>
      <c r="DA8" s="229">
        <f t="shared" si="10"/>
        <v>0.12958768061501871</v>
      </c>
      <c r="DB8" s="229">
        <f t="shared" si="11"/>
        <v>0.29697640246886747</v>
      </c>
      <c r="DC8" s="229">
        <f t="shared" si="12"/>
        <v>0.2873984761904762</v>
      </c>
      <c r="DD8" s="229">
        <f t="shared" si="13"/>
        <v>0.11650903940845705</v>
      </c>
      <c r="DE8" s="229">
        <f t="shared" si="14"/>
        <v>0.26513165120278409</v>
      </c>
      <c r="DF8" s="229">
        <f t="shared" si="15"/>
        <v>0.20353646557828933</v>
      </c>
      <c r="DG8" s="229">
        <f t="shared" si="16"/>
        <v>8.461236108487824E-2</v>
      </c>
      <c r="DH8" s="229">
        <f t="shared" si="17"/>
        <v>41.5711066046455</v>
      </c>
      <c r="DJ8" s="234">
        <f t="shared" si="121"/>
        <v>2.4633339760645204E-2</v>
      </c>
      <c r="DK8" s="234">
        <f t="shared" si="122"/>
        <v>3.3288296973844875E-2</v>
      </c>
      <c r="DL8" s="234">
        <f t="shared" si="123"/>
        <v>2.9268066019568093E-2</v>
      </c>
      <c r="DM8" s="234">
        <f t="shared" si="18"/>
        <v>2.9063234251352724E-2</v>
      </c>
      <c r="DN8" s="234">
        <f t="shared" si="19"/>
        <v>4.3311128051035487E-3</v>
      </c>
      <c r="DO8" s="234">
        <f t="shared" si="20"/>
        <v>14.902377235947032</v>
      </c>
      <c r="DQ8" s="229">
        <f t="shared" si="124"/>
        <v>0.7841584046004052</v>
      </c>
      <c r="DR8" s="229">
        <f t="shared" si="125"/>
        <v>0.53106722297030373</v>
      </c>
      <c r="DS8" s="229">
        <f t="shared" si="126"/>
        <v>1.0747043001933685</v>
      </c>
      <c r="DT8" s="229">
        <f t="shared" si="127"/>
        <v>1.1561148276200068</v>
      </c>
      <c r="DU8" s="229">
        <f t="shared" si="128"/>
        <v>0.53106722297030373</v>
      </c>
      <c r="DV8" s="229">
        <f t="shared" si="129"/>
        <v>1.1890775052800002</v>
      </c>
      <c r="DW8" s="229">
        <f t="shared" si="130"/>
        <v>0.1227103808</v>
      </c>
      <c r="DX8" s="229">
        <f t="shared" si="131"/>
        <v>0.42116069108729332</v>
      </c>
      <c r="DY8" s="229">
        <f t="shared" si="21"/>
        <v>0.72625756944021025</v>
      </c>
      <c r="DZ8" s="229">
        <f t="shared" si="22"/>
        <v>0.38864214959847992</v>
      </c>
      <c r="EA8" s="229">
        <f t="shared" si="23"/>
        <v>53.512991251580367</v>
      </c>
      <c r="EC8" s="235">
        <f t="shared" si="132"/>
        <v>5.0386699107977204E-2</v>
      </c>
      <c r="ED8" s="235">
        <f t="shared" si="133"/>
        <v>5.0965593017077794E-2</v>
      </c>
      <c r="EE8" s="235">
        <f t="shared" si="134"/>
        <v>3.6617126671229364E-2</v>
      </c>
      <c r="EF8" s="235">
        <f t="shared" si="135"/>
        <v>4.4208787034313655E-2</v>
      </c>
      <c r="EG8" s="235">
        <f t="shared" si="136"/>
        <v>4.5544551457649511E-2</v>
      </c>
      <c r="EH8" s="235">
        <f t="shared" si="137"/>
        <v>6.6912197534894245E-3</v>
      </c>
      <c r="EI8" s="235">
        <f t="shared" si="24"/>
        <v>14.691592164896793</v>
      </c>
      <c r="EK8" s="236">
        <f t="shared" si="138"/>
        <v>3.0966829694323139</v>
      </c>
      <c r="EL8" s="236">
        <f t="shared" si="139"/>
        <v>5.1555087056847118</v>
      </c>
      <c r="EM8" s="236">
        <f t="shared" si="140"/>
        <v>5.1555087056847118</v>
      </c>
      <c r="EN8" s="236">
        <f t="shared" si="141"/>
        <v>5.2306770040431285</v>
      </c>
      <c r="EO8" s="236">
        <f t="shared" si="142"/>
        <v>3.8218170504255959</v>
      </c>
      <c r="EP8" s="236">
        <f t="shared" si="143"/>
        <v>5.1555087056847118</v>
      </c>
      <c r="EQ8" s="236">
        <f t="shared" si="144"/>
        <v>3.2836513477299873</v>
      </c>
      <c r="ER8" s="236">
        <f t="shared" si="145"/>
        <v>4.4141934983835949</v>
      </c>
      <c r="ES8" s="236">
        <f t="shared" si="146"/>
        <v>0.97298162274004274</v>
      </c>
      <c r="ET8" s="236">
        <f t="shared" si="25"/>
        <v>22.042115351226279</v>
      </c>
      <c r="EV8" s="238">
        <f t="shared" si="147"/>
        <v>3.3366125555348534E-3</v>
      </c>
      <c r="EW8" s="238">
        <f t="shared" si="148"/>
        <v>3.3366125555348534E-3</v>
      </c>
      <c r="EX8" s="238" t="e">
        <f t="shared" si="149"/>
        <v>#DIV/0!</v>
      </c>
      <c r="EY8" s="238" t="e">
        <f t="shared" si="26"/>
        <v>#DIV/0!</v>
      </c>
      <c r="FA8" s="240">
        <f t="shared" si="150"/>
        <v>0.1031937206189191</v>
      </c>
      <c r="FB8" s="240">
        <f t="shared" si="151"/>
        <v>1.1388486759979096E-10</v>
      </c>
      <c r="FC8" s="240">
        <f t="shared" si="152"/>
        <v>5.1596860366401986E-2</v>
      </c>
      <c r="FD8" s="240">
        <f t="shared" si="153"/>
        <v>7.2968979544978968E-2</v>
      </c>
      <c r="FE8" s="240">
        <f t="shared" si="27"/>
        <v>141.42135592516348</v>
      </c>
      <c r="FG8" s="236">
        <f t="shared" si="154"/>
        <v>0.265769608624634</v>
      </c>
      <c r="FH8" s="236">
        <f t="shared" si="155"/>
        <v>0.32427998731026791</v>
      </c>
      <c r="FI8" s="236">
        <f t="shared" si="156"/>
        <v>0.27462845003422021</v>
      </c>
      <c r="FJ8" s="236">
        <f t="shared" si="157"/>
        <v>0.22417403846153844</v>
      </c>
      <c r="FK8" s="236">
        <f t="shared" si="158"/>
        <v>0.28123018509007314</v>
      </c>
      <c r="FL8" s="236">
        <f t="shared" si="159"/>
        <v>0.22339600769230766</v>
      </c>
      <c r="FM8" s="236">
        <f t="shared" si="160"/>
        <v>0.26557971286884025</v>
      </c>
      <c r="FN8" s="236">
        <f t="shared" si="161"/>
        <v>3.8122093490459877E-2</v>
      </c>
      <c r="FO8" s="236">
        <f t="shared" si="28"/>
        <v>14.354294263917264</v>
      </c>
      <c r="FQ8" s="227">
        <f t="shared" si="162"/>
        <v>9.2837266265964669E-2</v>
      </c>
      <c r="FR8" s="227">
        <f t="shared" si="163"/>
        <v>9.2301873599569484E-2</v>
      </c>
      <c r="FS8" s="227">
        <f t="shared" si="164"/>
        <v>9.2301873599569484E-2</v>
      </c>
      <c r="FT8" s="227">
        <f t="shared" si="165"/>
        <v>7.9544862135922337E-2</v>
      </c>
      <c r="FU8" s="227">
        <f t="shared" si="166"/>
        <v>6.935616674500579E-2</v>
      </c>
      <c r="FV8" s="227">
        <f t="shared" si="29"/>
        <v>8.5268408469206344E-2</v>
      </c>
      <c r="FW8" s="227">
        <f t="shared" si="30"/>
        <v>1.0514101140210043E-2</v>
      </c>
      <c r="FX8" s="227">
        <f t="shared" si="31"/>
        <v>12.330593861156776</v>
      </c>
      <c r="FZ8" s="230">
        <f t="shared" si="167"/>
        <v>0.34952711822537119</v>
      </c>
      <c r="GA8" s="230">
        <f t="shared" si="168"/>
        <v>0.37924386240000002</v>
      </c>
      <c r="GB8" s="230">
        <f t="shared" si="169"/>
        <v>0.44757507144271763</v>
      </c>
      <c r="GC8" s="230">
        <f t="shared" si="170"/>
        <v>0.39211535068936293</v>
      </c>
      <c r="GD8" s="230">
        <f t="shared" si="171"/>
        <v>5.0275308955939159E-2</v>
      </c>
      <c r="GE8" s="230">
        <f t="shared" si="32"/>
        <v>12.821561019621413</v>
      </c>
      <c r="GG8" s="231">
        <f t="shared" si="172"/>
        <v>2.3301807881691412E-2</v>
      </c>
      <c r="GH8" s="231">
        <f t="shared" si="173"/>
        <v>1.1743916850197111E-2</v>
      </c>
      <c r="GI8" s="231">
        <f t="shared" si="174"/>
        <v>3.8538095238095237E-3</v>
      </c>
      <c r="GJ8" s="231">
        <f t="shared" si="175"/>
        <v>4.1050861521769707E-3</v>
      </c>
      <c r="GK8" s="245">
        <f t="shared" si="186"/>
        <v>6.5676041753945343E-3</v>
      </c>
      <c r="GL8" s="231">
        <f t="shared" si="187"/>
        <v>4.4845785383335959E-3</v>
      </c>
      <c r="GM8" s="231">
        <f t="shared" si="33"/>
        <v>68.283325525844361</v>
      </c>
      <c r="GO8" s="246">
        <f t="shared" si="176"/>
        <v>4.1697692307692318E-2</v>
      </c>
      <c r="GP8" s="246">
        <f t="shared" si="177"/>
        <v>3.8281541519921601E-2</v>
      </c>
      <c r="GQ8" s="247">
        <f t="shared" si="188"/>
        <v>3.9989616913806959E-2</v>
      </c>
      <c r="GR8" s="246">
        <f t="shared" si="189"/>
        <v>2.4155833875884399E-3</v>
      </c>
      <c r="GS8" s="246">
        <f t="shared" si="34"/>
        <v>6.0405264516410675</v>
      </c>
      <c r="GU8" s="249">
        <f t="shared" si="178"/>
        <v>4.7152872663451259E-3</v>
      </c>
      <c r="GV8" s="249">
        <f t="shared" si="179"/>
        <v>4.7152872663451259E-3</v>
      </c>
      <c r="GW8" s="249" t="e">
        <f t="shared" si="180"/>
        <v>#DIV/0!</v>
      </c>
      <c r="GX8" s="249" t="e">
        <f t="shared" si="35"/>
        <v>#DIV/0!</v>
      </c>
      <c r="GZ8" s="240">
        <f t="shared" si="181"/>
        <v>4.9932445460767316E-3</v>
      </c>
      <c r="HA8" s="240">
        <f t="shared" si="182"/>
        <v>4.9932445460767316E-3</v>
      </c>
      <c r="HB8" s="240" t="e">
        <f t="shared" si="183"/>
        <v>#DIV/0!</v>
      </c>
      <c r="HC8" s="240" t="e">
        <f t="shared" si="36"/>
        <v>#DIV/0!</v>
      </c>
      <c r="HE8" s="234">
        <f t="shared" si="184"/>
        <v>1.93763366994377E-2</v>
      </c>
      <c r="HF8" s="234">
        <f t="shared" si="185"/>
        <v>1.93763366994377E-2</v>
      </c>
      <c r="HG8" s="251">
        <f t="shared" si="190"/>
        <v>1.93763366994377E-2</v>
      </c>
      <c r="HH8" s="234">
        <f t="shared" si="191"/>
        <v>0</v>
      </c>
      <c r="HI8" s="234">
        <f t="shared" si="37"/>
        <v>0</v>
      </c>
    </row>
    <row r="9" spans="1:217" ht="15.6" x14ac:dyDescent="0.25">
      <c r="B9">
        <v>5</v>
      </c>
      <c r="C9" s="124">
        <f t="shared" si="38"/>
        <v>18.164476849018762</v>
      </c>
      <c r="D9" s="124">
        <f t="shared" si="39"/>
        <v>109.40126412883201</v>
      </c>
      <c r="E9" s="29">
        <f t="shared" si="40"/>
        <v>0.91318953403350578</v>
      </c>
      <c r="F9" s="29">
        <f t="shared" si="41"/>
        <v>0.75863885218914984</v>
      </c>
      <c r="G9" s="29">
        <f t="shared" si="42"/>
        <v>0.74101542860217229</v>
      </c>
      <c r="H9" s="29">
        <f t="shared" si="43"/>
        <v>0.75831602714566504</v>
      </c>
      <c r="I9" s="29">
        <f t="shared" si="44"/>
        <v>0.7630991694137168</v>
      </c>
      <c r="J9" s="29">
        <f t="shared" si="45"/>
        <v>0.75831602714566515</v>
      </c>
      <c r="K9" s="29">
        <f t="shared" si="46"/>
        <v>0.74209383544308982</v>
      </c>
      <c r="L9" s="125">
        <f t="shared" si="0"/>
        <v>0.77638126771042348</v>
      </c>
      <c r="M9" s="126">
        <f t="shared" si="1"/>
        <v>6.0946404868899927E-2</v>
      </c>
      <c r="N9" s="126">
        <f t="shared" si="47"/>
        <v>7.8500612268290668</v>
      </c>
      <c r="P9" s="138">
        <f t="shared" si="48"/>
        <v>163.04006621918893</v>
      </c>
      <c r="Q9" s="138">
        <f t="shared" si="49"/>
        <v>217.17399999999998</v>
      </c>
      <c r="R9" s="138">
        <f t="shared" si="50"/>
        <v>163.04006621918893</v>
      </c>
      <c r="S9" s="138">
        <f t="shared" si="51"/>
        <v>161.8738067989172</v>
      </c>
      <c r="T9" s="138">
        <f t="shared" si="52"/>
        <v>145.06460990695723</v>
      </c>
      <c r="U9" s="138">
        <f t="shared" si="53"/>
        <v>163.04006621918893</v>
      </c>
      <c r="V9" s="138">
        <f t="shared" si="54"/>
        <v>201.11557087457439</v>
      </c>
      <c r="W9" s="138">
        <f t="shared" si="55"/>
        <v>173.47831231971651</v>
      </c>
      <c r="X9" s="138">
        <f t="shared" si="56"/>
        <v>25.63202801324147</v>
      </c>
      <c r="Y9" s="138">
        <f t="shared" si="57"/>
        <v>14.775350111777799</v>
      </c>
      <c r="AA9" s="227">
        <f t="shared" si="58"/>
        <v>0.36395816875000003</v>
      </c>
      <c r="AB9" s="227">
        <f t="shared" si="59"/>
        <v>0.37401515151515152</v>
      </c>
      <c r="AC9" s="227">
        <f t="shared" si="60"/>
        <v>0.4041048433245148</v>
      </c>
      <c r="AD9" s="227">
        <f t="shared" si="61"/>
        <v>0.36395816875000003</v>
      </c>
      <c r="AE9" s="227">
        <f t="shared" si="62"/>
        <v>0.3765090830849166</v>
      </c>
      <c r="AF9" s="227">
        <f t="shared" si="63"/>
        <v>1.8998215522875544E-2</v>
      </c>
      <c r="AG9" s="227">
        <f t="shared" si="64"/>
        <v>5.0458850467070269</v>
      </c>
      <c r="AI9" s="228">
        <f t="shared" si="65"/>
        <v>1.4258987010259139</v>
      </c>
      <c r="AJ9" s="228">
        <f t="shared" si="66"/>
        <v>1.4258987010259139</v>
      </c>
      <c r="AK9" s="228">
        <f t="shared" si="67"/>
        <v>1.4258987010259139</v>
      </c>
      <c r="AL9" s="228">
        <f t="shared" si="68"/>
        <v>1.6292380953999059</v>
      </c>
      <c r="AM9" s="228">
        <f t="shared" si="69"/>
        <v>1.3572249999999999</v>
      </c>
      <c r="AN9" s="228">
        <f t="shared" si="70"/>
        <v>1.3523453014094469</v>
      </c>
      <c r="AO9" s="228">
        <f t="shared" si="71"/>
        <v>1.5143152567072893</v>
      </c>
      <c r="AP9" s="228">
        <f t="shared" si="72"/>
        <v>1.4472599652277691</v>
      </c>
      <c r="AQ9" s="228">
        <f t="shared" si="73"/>
        <v>9.6692339555731879E-2</v>
      </c>
      <c r="AR9" s="228">
        <f t="shared" si="74"/>
        <v>6.6810622748425486</v>
      </c>
      <c r="AT9" s="229">
        <f t="shared" si="75"/>
        <v>1.2190366972477065</v>
      </c>
      <c r="AU9" s="229">
        <f t="shared" si="76"/>
        <v>1.1615101416035543</v>
      </c>
      <c r="AV9" s="229">
        <f t="shared" si="77"/>
        <v>1.0533274239252819</v>
      </c>
      <c r="AW9" s="229">
        <f t="shared" si="78"/>
        <v>1.2190366972477065</v>
      </c>
      <c r="AX9" s="229">
        <f t="shared" si="79"/>
        <v>0.35884612282580164</v>
      </c>
      <c r="AY9" s="229">
        <f t="shared" si="80"/>
        <v>1.1852759066476151</v>
      </c>
      <c r="AZ9" s="229">
        <f t="shared" si="81"/>
        <v>1.2456950760311716</v>
      </c>
      <c r="BA9" s="229">
        <f t="shared" si="82"/>
        <v>1.3186116889978117</v>
      </c>
      <c r="BB9" s="229">
        <f t="shared" si="83"/>
        <v>1.0951674693158313</v>
      </c>
      <c r="BC9" s="229">
        <f t="shared" si="84"/>
        <v>0.30699317030314632</v>
      </c>
      <c r="BD9" s="229">
        <f t="shared" si="85"/>
        <v>28.031618807571952</v>
      </c>
      <c r="BF9" s="230">
        <f t="shared" si="86"/>
        <v>6.3777706416035542</v>
      </c>
      <c r="BG9" s="230">
        <f t="shared" si="87"/>
        <v>2.161018125</v>
      </c>
      <c r="BH9" s="230">
        <f t="shared" si="88"/>
        <v>2.2825982065463091</v>
      </c>
      <c r="BI9" s="230">
        <f t="shared" si="2"/>
        <v>3.6071289910499544</v>
      </c>
      <c r="BJ9" s="230">
        <f t="shared" si="3"/>
        <v>2.4002159894255315</v>
      </c>
      <c r="BK9" s="230">
        <f t="shared" si="89"/>
        <v>66.540897078562253</v>
      </c>
      <c r="BM9" s="227">
        <f t="shared" si="90"/>
        <v>6.6691893890545533</v>
      </c>
      <c r="BN9" s="227">
        <f t="shared" si="91"/>
        <v>4.805208183978654</v>
      </c>
      <c r="BO9" s="227">
        <f t="shared" si="92"/>
        <v>5.5485319439042806</v>
      </c>
      <c r="BP9" s="227">
        <f t="shared" si="93"/>
        <v>4.805208183978654</v>
      </c>
      <c r="BQ9" s="227">
        <f t="shared" si="94"/>
        <v>2.6530600961538444</v>
      </c>
      <c r="BR9" s="227">
        <f t="shared" si="95"/>
        <v>5.0161047567027319</v>
      </c>
      <c r="BS9" s="227">
        <f t="shared" si="96"/>
        <v>5.0436445227751552</v>
      </c>
      <c r="BT9" s="227">
        <f t="shared" si="4"/>
        <v>4.9344210109354103</v>
      </c>
      <c r="BU9" s="227">
        <f t="shared" si="5"/>
        <v>1.200219084609728</v>
      </c>
      <c r="BV9" s="227">
        <f t="shared" si="97"/>
        <v>24.323402521792612</v>
      </c>
      <c r="BX9" s="231">
        <f t="shared" si="98"/>
        <v>9.600876311421444E-2</v>
      </c>
      <c r="BY9" s="231">
        <f t="shared" si="99"/>
        <v>0.10767366045532938</v>
      </c>
      <c r="BZ9" s="231">
        <f t="shared" si="100"/>
        <v>0.11179634721023325</v>
      </c>
      <c r="CA9" s="231">
        <f t="shared" si="101"/>
        <v>9.7334880952380964E-2</v>
      </c>
      <c r="CB9" s="231">
        <f t="shared" si="102"/>
        <v>9.8537111788028889E-2</v>
      </c>
      <c r="CC9" s="231">
        <f t="shared" si="103"/>
        <v>0.10478258136243986</v>
      </c>
      <c r="CD9" s="231">
        <f t="shared" si="104"/>
        <v>0.1312958553032523</v>
      </c>
      <c r="CE9" s="231">
        <f t="shared" si="105"/>
        <v>0.14386803573374182</v>
      </c>
      <c r="CF9" s="231">
        <f t="shared" si="106"/>
        <v>0.11141215448995262</v>
      </c>
      <c r="CG9" s="231">
        <f t="shared" si="107"/>
        <v>1.7353557838553534E-2</v>
      </c>
      <c r="CH9" s="231">
        <f t="shared" si="6"/>
        <v>15.576000588085309</v>
      </c>
      <c r="CJ9" s="232">
        <f t="shared" si="108"/>
        <v>0.48106628389792144</v>
      </c>
      <c r="CK9" s="232">
        <f t="shared" si="109"/>
        <v>0.48106628389792144</v>
      </c>
      <c r="CL9" s="232">
        <f t="shared" si="110"/>
        <v>0.97472368190300507</v>
      </c>
      <c r="CM9" s="232">
        <f t="shared" si="111"/>
        <v>0.56831666953044746</v>
      </c>
      <c r="CN9" s="232">
        <f t="shared" si="112"/>
        <v>0.44710294797680505</v>
      </c>
      <c r="CO9" s="232">
        <f t="shared" si="113"/>
        <v>0.48106628389792144</v>
      </c>
      <c r="CP9" s="232">
        <f t="shared" si="114"/>
        <v>0.48106628389792144</v>
      </c>
      <c r="CQ9" s="232">
        <f t="shared" si="115"/>
        <v>0.54348723819562028</v>
      </c>
      <c r="CR9" s="232">
        <f t="shared" si="116"/>
        <v>0.91004029013583998</v>
      </c>
      <c r="CS9" s="232">
        <f t="shared" si="117"/>
        <v>0.56467857142857125</v>
      </c>
      <c r="CT9" s="232">
        <f t="shared" si="118"/>
        <v>0.61082078432317721</v>
      </c>
      <c r="CU9" s="232">
        <f t="shared" si="119"/>
        <v>0.59485775628046833</v>
      </c>
      <c r="CV9" s="232">
        <f t="shared" si="120"/>
        <v>0.17938020852316952</v>
      </c>
      <c r="CW9" s="232">
        <f t="shared" si="7"/>
        <v>30.155143247151994</v>
      </c>
      <c r="CY9" s="229">
        <f t="shared" si="8"/>
        <v>0.28091214262141118</v>
      </c>
      <c r="CZ9" s="229">
        <f t="shared" si="9"/>
        <v>0.11629761473708158</v>
      </c>
      <c r="DA9" s="229">
        <f t="shared" si="10"/>
        <v>0.17688300833347995</v>
      </c>
      <c r="DB9" s="229">
        <f t="shared" si="11"/>
        <v>0.32284662541821552</v>
      </c>
      <c r="DC9" s="229">
        <f t="shared" si="12"/>
        <v>0.30506523809523806</v>
      </c>
      <c r="DD9" s="229">
        <f t="shared" si="13"/>
        <v>0.12715133794313133</v>
      </c>
      <c r="DE9" s="229">
        <f t="shared" si="14"/>
        <v>0.29927543801430384</v>
      </c>
      <c r="DF9" s="229">
        <f t="shared" si="15"/>
        <v>0.23263305788040878</v>
      </c>
      <c r="DG9" s="229">
        <f t="shared" si="16"/>
        <v>8.9373170795898391E-2</v>
      </c>
      <c r="DH9" s="229">
        <f t="shared" si="17"/>
        <v>38.418087098284651</v>
      </c>
      <c r="DJ9" s="234">
        <f t="shared" si="121"/>
        <v>2.6883425736547766E-2</v>
      </c>
      <c r="DK9" s="234">
        <f t="shared" si="122"/>
        <v>3.6328953698037521E-2</v>
      </c>
      <c r="DL9" s="234">
        <f t="shared" si="123"/>
        <v>3.3338057951312436E-2</v>
      </c>
      <c r="DM9" s="234">
        <f t="shared" si="18"/>
        <v>3.2183479128632571E-2</v>
      </c>
      <c r="DN9" s="234">
        <f t="shared" si="19"/>
        <v>4.8274515855839311E-3</v>
      </c>
      <c r="DO9" s="234">
        <f t="shared" si="20"/>
        <v>14.999781615559108</v>
      </c>
      <c r="DQ9" s="229">
        <f t="shared" si="124"/>
        <v>0.97799040521962699</v>
      </c>
      <c r="DR9" s="229">
        <f t="shared" si="125"/>
        <v>0.57571187951276037</v>
      </c>
      <c r="DS9" s="229">
        <f t="shared" si="126"/>
        <v>1.1645719015656353</v>
      </c>
      <c r="DT9" s="229">
        <f t="shared" si="127"/>
        <v>1.2204061696548902</v>
      </c>
      <c r="DU9" s="229">
        <f t="shared" si="128"/>
        <v>0.57571187951276037</v>
      </c>
      <c r="DV9" s="229">
        <f t="shared" si="129"/>
        <v>1.2818700624999999</v>
      </c>
      <c r="DW9" s="229">
        <f t="shared" si="130"/>
        <v>0.14300987500000001</v>
      </c>
      <c r="DX9" s="229">
        <f t="shared" si="131"/>
        <v>0.46464315113956861</v>
      </c>
      <c r="DY9" s="229">
        <f t="shared" si="21"/>
        <v>0.80048941551315511</v>
      </c>
      <c r="DZ9" s="229">
        <f t="shared" si="22"/>
        <v>0.41717451068677253</v>
      </c>
      <c r="EA9" s="229">
        <f t="shared" si="23"/>
        <v>52.114931515907934</v>
      </c>
      <c r="EC9" s="235">
        <f t="shared" si="132"/>
        <v>5.4835356188002685E-2</v>
      </c>
      <c r="ED9" s="235">
        <f t="shared" si="133"/>
        <v>5.4227063567362434E-2</v>
      </c>
      <c r="EE9" s="235">
        <f t="shared" si="134"/>
        <v>3.9961849067841275E-2</v>
      </c>
      <c r="EF9" s="235">
        <f t="shared" si="135"/>
        <v>4.8977705474260766E-2</v>
      </c>
      <c r="EG9" s="235">
        <f t="shared" si="136"/>
        <v>4.9500493574366797E-2</v>
      </c>
      <c r="EH9" s="235">
        <f t="shared" si="137"/>
        <v>6.8813823568751728E-3</v>
      </c>
      <c r="EI9" s="235">
        <f t="shared" si="24"/>
        <v>13.901643923079202</v>
      </c>
      <c r="EK9" s="236">
        <f t="shared" si="138"/>
        <v>3.1639437772925767</v>
      </c>
      <c r="EL9" s="236">
        <f t="shared" si="139"/>
        <v>5.1299283470322106</v>
      </c>
      <c r="EM9" s="236">
        <f t="shared" si="140"/>
        <v>5.1299283470322106</v>
      </c>
      <c r="EN9" s="236">
        <f t="shared" si="141"/>
        <v>5.9872995306385013</v>
      </c>
      <c r="EO9" s="236">
        <f t="shared" si="142"/>
        <v>4.2327351549524588</v>
      </c>
      <c r="EP9" s="236">
        <f t="shared" si="143"/>
        <v>5.1299283470322106</v>
      </c>
      <c r="EQ9" s="236">
        <f t="shared" si="144"/>
        <v>3.6227646019547617</v>
      </c>
      <c r="ER9" s="236">
        <f t="shared" si="145"/>
        <v>4.6280754437049909</v>
      </c>
      <c r="ES9" s="236">
        <f t="shared" si="146"/>
        <v>0.99278098434625883</v>
      </c>
      <c r="ET9" s="236">
        <f t="shared" si="25"/>
        <v>21.451270542631672</v>
      </c>
      <c r="EV9" s="238">
        <f t="shared" si="147"/>
        <v>3.6340221146348383E-3</v>
      </c>
      <c r="EW9" s="238">
        <f t="shared" si="148"/>
        <v>3.6340221146348383E-3</v>
      </c>
      <c r="EX9" s="238" t="e">
        <f t="shared" si="149"/>
        <v>#DIV/0!</v>
      </c>
      <c r="EY9" s="238" t="e">
        <f t="shared" si="26"/>
        <v>#DIV/0!</v>
      </c>
      <c r="FA9" s="240">
        <f t="shared" si="150"/>
        <v>0.11261975646391632</v>
      </c>
      <c r="FB9" s="240">
        <f t="shared" si="151"/>
        <v>8.4775964052466477E-10</v>
      </c>
      <c r="FC9" s="240">
        <f t="shared" si="152"/>
        <v>5.6309878655837982E-2</v>
      </c>
      <c r="FD9" s="240">
        <f t="shared" si="153"/>
        <v>7.9634192891756148E-2</v>
      </c>
      <c r="FE9" s="240">
        <f t="shared" si="27"/>
        <v>141.42135410817477</v>
      </c>
      <c r="FG9" s="236">
        <f t="shared" si="154"/>
        <v>0.33240392806154689</v>
      </c>
      <c r="FH9" s="236">
        <f t="shared" si="155"/>
        <v>0.35889424544461601</v>
      </c>
      <c r="FI9" s="236">
        <f t="shared" si="156"/>
        <v>0.29971386800880956</v>
      </c>
      <c r="FJ9" s="236">
        <f t="shared" si="157"/>
        <v>0.22852548076923065</v>
      </c>
      <c r="FK9" s="236">
        <f t="shared" si="158"/>
        <v>0.31796462612286114</v>
      </c>
      <c r="FL9" s="236">
        <f t="shared" si="159"/>
        <v>0.22861959134615381</v>
      </c>
      <c r="FM9" s="236">
        <f t="shared" si="160"/>
        <v>0.29435362329220299</v>
      </c>
      <c r="FN9" s="236">
        <f t="shared" si="161"/>
        <v>5.4504745816966745E-2</v>
      </c>
      <c r="FO9" s="236">
        <f t="shared" si="28"/>
        <v>18.516757228043438</v>
      </c>
      <c r="FQ9" s="227">
        <f t="shared" si="162"/>
        <v>0.11047556401010639</v>
      </c>
      <c r="FR9" s="227">
        <f t="shared" si="163"/>
        <v>0.1041580227439864</v>
      </c>
      <c r="FS9" s="227">
        <f t="shared" si="164"/>
        <v>0.1041580227439864</v>
      </c>
      <c r="FT9" s="227">
        <f t="shared" si="165"/>
        <v>8.7969356796116532E-2</v>
      </c>
      <c r="FU9" s="227">
        <f t="shared" si="166"/>
        <v>7.5691375029861174E-2</v>
      </c>
      <c r="FV9" s="227">
        <f t="shared" si="29"/>
        <v>9.6490468264811363E-2</v>
      </c>
      <c r="FW9" s="227">
        <f t="shared" si="30"/>
        <v>1.4303647318476082E-2</v>
      </c>
      <c r="FX9" s="227">
        <f t="shared" si="31"/>
        <v>14.823896676737766</v>
      </c>
      <c r="FZ9" s="230">
        <f t="shared" si="167"/>
        <v>0.38145401382939403</v>
      </c>
      <c r="GA9" s="230">
        <f t="shared" si="168"/>
        <v>0.44752675000000003</v>
      </c>
      <c r="GB9" s="230">
        <f t="shared" si="169"/>
        <v>0.53028556017654316</v>
      </c>
      <c r="GC9" s="230">
        <f t="shared" si="170"/>
        <v>0.45308877466864567</v>
      </c>
      <c r="GD9" s="230">
        <f t="shared" si="171"/>
        <v>7.457150518684684E-2</v>
      </c>
      <c r="GE9" s="230">
        <f t="shared" si="32"/>
        <v>16.458475547398567</v>
      </c>
      <c r="GG9" s="231">
        <f t="shared" si="172"/>
        <v>2.5430267588626265E-2</v>
      </c>
      <c r="GH9" s="231">
        <f t="shared" si="173"/>
        <v>1.4677737708772311E-2</v>
      </c>
      <c r="GI9" s="231">
        <f t="shared" si="174"/>
        <v>4.6847619047619051E-3</v>
      </c>
      <c r="GJ9" s="231">
        <f t="shared" si="175"/>
        <v>4.3764582296183362E-3</v>
      </c>
      <c r="GK9" s="245">
        <f t="shared" si="186"/>
        <v>7.9129859477175182E-3</v>
      </c>
      <c r="GL9" s="231">
        <f t="shared" si="187"/>
        <v>5.8604746036944148E-3</v>
      </c>
      <c r="GM9" s="231">
        <f t="shared" si="33"/>
        <v>74.061481246341074</v>
      </c>
      <c r="GO9" s="246">
        <f t="shared" si="176"/>
        <v>4.704326923076925E-2</v>
      </c>
      <c r="GP9" s="246">
        <f t="shared" si="177"/>
        <v>4.1778296752743152E-2</v>
      </c>
      <c r="GQ9" s="247">
        <f t="shared" si="188"/>
        <v>4.4410782991756201E-2</v>
      </c>
      <c r="GR9" s="246">
        <f t="shared" si="189"/>
        <v>3.7228977419727946E-3</v>
      </c>
      <c r="GS9" s="246">
        <f t="shared" si="34"/>
        <v>8.3828689592432131</v>
      </c>
      <c r="GU9" s="249">
        <f t="shared" si="178"/>
        <v>5.1459962913270154E-3</v>
      </c>
      <c r="GV9" s="249">
        <f t="shared" si="179"/>
        <v>5.1459962913270154E-3</v>
      </c>
      <c r="GW9" s="249" t="e">
        <f t="shared" si="180"/>
        <v>#DIV/0!</v>
      </c>
      <c r="GX9" s="249" t="e">
        <f t="shared" si="35"/>
        <v>#DIV/0!</v>
      </c>
      <c r="GZ9" s="240">
        <f t="shared" si="181"/>
        <v>5.4493430547056286E-3</v>
      </c>
      <c r="HA9" s="240">
        <f t="shared" si="182"/>
        <v>5.4493430547056286E-3</v>
      </c>
      <c r="HB9" s="240" t="e">
        <f t="shared" si="183"/>
        <v>#DIV/0!</v>
      </c>
      <c r="HC9" s="240" t="e">
        <f t="shared" si="36"/>
        <v>#DIV/0!</v>
      </c>
      <c r="HE9" s="234">
        <f t="shared" si="184"/>
        <v>2.1185527450332326E-2</v>
      </c>
      <c r="HF9" s="234">
        <f t="shared" si="185"/>
        <v>2.1185527450332326E-2</v>
      </c>
      <c r="HG9" s="251">
        <f t="shared" si="190"/>
        <v>2.1185527450332326E-2</v>
      </c>
      <c r="HH9" s="234">
        <f t="shared" si="191"/>
        <v>0</v>
      </c>
      <c r="HI9" s="234">
        <f t="shared" si="37"/>
        <v>0</v>
      </c>
    </row>
    <row r="10" spans="1:217" ht="15.6" x14ac:dyDescent="0.25">
      <c r="B10">
        <v>6</v>
      </c>
      <c r="C10" s="124">
        <f t="shared" si="38"/>
        <v>20.323292068072668</v>
      </c>
      <c r="D10" s="124">
        <f t="shared" si="39"/>
        <v>117.24082899168677</v>
      </c>
      <c r="E10" s="29">
        <f t="shared" si="40"/>
        <v>0.9923713448596525</v>
      </c>
      <c r="F10" s="29">
        <f t="shared" si="41"/>
        <v>0.82762974347663454</v>
      </c>
      <c r="G10" s="29">
        <f t="shared" si="42"/>
        <v>0.81723317267463103</v>
      </c>
      <c r="H10" s="29">
        <f t="shared" si="43"/>
        <v>0.82727756060707014</v>
      </c>
      <c r="I10" s="29">
        <f t="shared" si="44"/>
        <v>0.83284797309575487</v>
      </c>
      <c r="J10" s="29">
        <f t="shared" si="45"/>
        <v>0.82727756060707014</v>
      </c>
      <c r="K10" s="29">
        <f t="shared" si="46"/>
        <v>0.8102188977902538</v>
      </c>
      <c r="L10" s="125">
        <f t="shared" si="0"/>
        <v>0.84783660758729518</v>
      </c>
      <c r="M10" s="126">
        <f t="shared" si="1"/>
        <v>6.4187586992859383E-2</v>
      </c>
      <c r="N10" s="126">
        <f t="shared" si="47"/>
        <v>7.5707496489823933</v>
      </c>
      <c r="P10" s="138">
        <f t="shared" si="48"/>
        <v>178.04568759333199</v>
      </c>
      <c r="Q10" s="138">
        <f t="shared" si="49"/>
        <v>245.23160000000001</v>
      </c>
      <c r="R10" s="138">
        <f t="shared" si="50"/>
        <v>178.04568759333199</v>
      </c>
      <c r="S10" s="138">
        <f t="shared" si="51"/>
        <v>176.01041311379495</v>
      </c>
      <c r="T10" s="138">
        <f t="shared" si="52"/>
        <v>158.37117513503838</v>
      </c>
      <c r="U10" s="138">
        <f t="shared" si="53"/>
        <v>178.04568759333199</v>
      </c>
      <c r="V10" s="138">
        <f t="shared" si="54"/>
        <v>225.53347959981886</v>
      </c>
      <c r="W10" s="138">
        <f t="shared" si="55"/>
        <v>191.32624723266403</v>
      </c>
      <c r="X10" s="138">
        <f t="shared" si="56"/>
        <v>31.426244732466721</v>
      </c>
      <c r="Y10" s="138">
        <f t="shared" si="57"/>
        <v>16.425474908442933</v>
      </c>
      <c r="AA10" s="227">
        <f t="shared" si="58"/>
        <v>0.37031748840000001</v>
      </c>
      <c r="AB10" s="227">
        <f t="shared" si="59"/>
        <v>0.37707746478873239</v>
      </c>
      <c r="AC10" s="227">
        <f t="shared" si="60"/>
        <v>0.40892611506402515</v>
      </c>
      <c r="AD10" s="227">
        <f t="shared" si="61"/>
        <v>0.37031748840000001</v>
      </c>
      <c r="AE10" s="227">
        <f t="shared" si="62"/>
        <v>0.3816596391631894</v>
      </c>
      <c r="AF10" s="227">
        <f t="shared" si="63"/>
        <v>1.8454862032525225E-2</v>
      </c>
      <c r="AG10" s="227">
        <f t="shared" si="64"/>
        <v>4.8354240634374035</v>
      </c>
      <c r="AI10" s="228">
        <f t="shared" si="65"/>
        <v>1.5859400154143897</v>
      </c>
      <c r="AJ10" s="228">
        <f t="shared" si="66"/>
        <v>1.5859400154143897</v>
      </c>
      <c r="AK10" s="228">
        <f t="shared" si="67"/>
        <v>1.5859400154143897</v>
      </c>
      <c r="AL10" s="228">
        <f t="shared" si="68"/>
        <v>1.8228547413257918</v>
      </c>
      <c r="AM10" s="228">
        <f t="shared" si="69"/>
        <v>1.6117152000000001</v>
      </c>
      <c r="AN10" s="228">
        <f t="shared" si="70"/>
        <v>1.5552358608508474</v>
      </c>
      <c r="AO10" s="228">
        <f t="shared" si="71"/>
        <v>1.6936277133794388</v>
      </c>
      <c r="AP10" s="228">
        <f t="shared" si="72"/>
        <v>1.6344647945427497</v>
      </c>
      <c r="AQ10" s="228">
        <f t="shared" si="73"/>
        <v>9.385250269117125E-2</v>
      </c>
      <c r="AR10" s="228">
        <f t="shared" si="74"/>
        <v>5.7420938648866393</v>
      </c>
      <c r="AT10" s="229">
        <f t="shared" si="75"/>
        <v>1.2500000000000002</v>
      </c>
      <c r="AU10" s="229">
        <f t="shared" si="76"/>
        <v>1.2272148339907438</v>
      </c>
      <c r="AV10" s="229">
        <f t="shared" si="77"/>
        <v>1.0998055381763634</v>
      </c>
      <c r="AW10" s="229">
        <f t="shared" si="78"/>
        <v>1.2500000000000002</v>
      </c>
      <c r="AX10" s="229">
        <f t="shared" si="79"/>
        <v>0.40419807029556903</v>
      </c>
      <c r="AY10" s="229">
        <f t="shared" si="80"/>
        <v>1.2064722410619124</v>
      </c>
      <c r="AZ10" s="229">
        <f t="shared" si="81"/>
        <v>1.2693811784362596</v>
      </c>
      <c r="BA10" s="229">
        <f t="shared" si="82"/>
        <v>1.3188733481950763</v>
      </c>
      <c r="BB10" s="229">
        <f t="shared" si="83"/>
        <v>1.1282431512694906</v>
      </c>
      <c r="BC10" s="229">
        <f t="shared" si="84"/>
        <v>0.29925489295662727</v>
      </c>
      <c r="BD10" s="229">
        <f t="shared" si="85"/>
        <v>26.523971594235512</v>
      </c>
      <c r="BF10" s="230">
        <f t="shared" si="86"/>
        <v>7.4077353339907441</v>
      </c>
      <c r="BG10" s="230">
        <f t="shared" si="87"/>
        <v>2.2085415039999989</v>
      </c>
      <c r="BH10" s="230">
        <f t="shared" si="88"/>
        <v>2.2901084755245495</v>
      </c>
      <c r="BI10" s="230">
        <f t="shared" si="2"/>
        <v>3.9687951045050975</v>
      </c>
      <c r="BJ10" s="230">
        <f t="shared" si="3"/>
        <v>2.9784888314700817</v>
      </c>
      <c r="BK10" s="230">
        <f t="shared" si="89"/>
        <v>75.04768457532893</v>
      </c>
      <c r="BM10" s="227">
        <f t="shared" si="90"/>
        <v>8.2074872249519171</v>
      </c>
      <c r="BN10" s="227">
        <f t="shared" si="91"/>
        <v>5.8270430565426432</v>
      </c>
      <c r="BO10" s="227">
        <f t="shared" si="92"/>
        <v>6.4499567448665269</v>
      </c>
      <c r="BP10" s="227">
        <f t="shared" si="93"/>
        <v>5.8270430565426432</v>
      </c>
      <c r="BQ10" s="227">
        <f t="shared" si="94"/>
        <v>3.1686788461538411</v>
      </c>
      <c r="BR10" s="227">
        <f t="shared" si="95"/>
        <v>5.7031280927382113</v>
      </c>
      <c r="BS10" s="227">
        <f t="shared" si="96"/>
        <v>5.8531256151539202</v>
      </c>
      <c r="BT10" s="227">
        <f t="shared" si="4"/>
        <v>5.8623518052785286</v>
      </c>
      <c r="BU10" s="227">
        <f t="shared" si="5"/>
        <v>1.4792309060819642</v>
      </c>
      <c r="BV10" s="227">
        <f t="shared" si="97"/>
        <v>25.232721529097716</v>
      </c>
      <c r="BX10" s="231">
        <f t="shared" si="98"/>
        <v>0.10881349506503285</v>
      </c>
      <c r="BY10" s="231">
        <f t="shared" si="99"/>
        <v>0.11485864009703717</v>
      </c>
      <c r="BZ10" s="231">
        <f t="shared" si="100"/>
        <v>0.12271026562907889</v>
      </c>
      <c r="CA10" s="231">
        <f t="shared" si="101"/>
        <v>0.10528138819047621</v>
      </c>
      <c r="CB10" s="231">
        <f t="shared" si="102"/>
        <v>0.10692465729196274</v>
      </c>
      <c r="CC10" s="231">
        <f t="shared" si="103"/>
        <v>0.11710947426657849</v>
      </c>
      <c r="CD10" s="231">
        <f t="shared" si="104"/>
        <v>0.1579659933829767</v>
      </c>
      <c r="CE10" s="231">
        <f t="shared" si="105"/>
        <v>0.1833360681197837</v>
      </c>
      <c r="CF10" s="231">
        <f t="shared" si="106"/>
        <v>0.12712499775536584</v>
      </c>
      <c r="CG10" s="231">
        <f t="shared" si="107"/>
        <v>2.8288371432087036E-2</v>
      </c>
      <c r="CH10" s="231">
        <f t="shared" si="6"/>
        <v>22.252406632505135</v>
      </c>
      <c r="CJ10" s="232">
        <f t="shared" si="108"/>
        <v>0.52510533169154283</v>
      </c>
      <c r="CK10" s="232">
        <f t="shared" si="109"/>
        <v>0.52510533169154283</v>
      </c>
      <c r="CL10" s="232">
        <f t="shared" si="110"/>
        <v>1.0796497202830146</v>
      </c>
      <c r="CM10" s="232">
        <f t="shared" si="111"/>
        <v>0.61721651419952095</v>
      </c>
      <c r="CN10" s="232">
        <f t="shared" si="112"/>
        <v>0.49880789911133577</v>
      </c>
      <c r="CO10" s="232">
        <f t="shared" si="113"/>
        <v>0.52510533169154283</v>
      </c>
      <c r="CP10" s="232">
        <f t="shared" si="114"/>
        <v>0.52510533169154283</v>
      </c>
      <c r="CQ10" s="232">
        <f t="shared" si="115"/>
        <v>0.59293997219180472</v>
      </c>
      <c r="CR10" s="232">
        <f t="shared" si="116"/>
        <v>1.0181969326104405</v>
      </c>
      <c r="CS10" s="232">
        <f t="shared" si="117"/>
        <v>0.5968971428571429</v>
      </c>
      <c r="CT10" s="232">
        <f t="shared" si="118"/>
        <v>0.67452981746039642</v>
      </c>
      <c r="CU10" s="232">
        <f t="shared" si="119"/>
        <v>0.65260539322543887</v>
      </c>
      <c r="CV10" s="232">
        <f t="shared" si="120"/>
        <v>0.20324841639365418</v>
      </c>
      <c r="CW10" s="232">
        <f t="shared" si="7"/>
        <v>31.144152117578834</v>
      </c>
      <c r="CY10" s="229">
        <f t="shared" si="8"/>
        <v>0.3367430461908989</v>
      </c>
      <c r="CZ10" s="229">
        <f t="shared" si="9"/>
        <v>0.13356991805863469</v>
      </c>
      <c r="DA10" s="229">
        <f t="shared" si="10"/>
        <v>0.22358903820069032</v>
      </c>
      <c r="DB10" s="229">
        <f t="shared" si="11"/>
        <v>0.3592200853441212</v>
      </c>
      <c r="DC10" s="229">
        <f t="shared" si="12"/>
        <v>0.32641638095238085</v>
      </c>
      <c r="DD10" s="229">
        <f t="shared" si="13"/>
        <v>0.14226304447650867</v>
      </c>
      <c r="DE10" s="229">
        <f t="shared" si="14"/>
        <v>0.3388683040549485</v>
      </c>
      <c r="DF10" s="229">
        <f t="shared" si="15"/>
        <v>0.26580997389688332</v>
      </c>
      <c r="DG10" s="229">
        <f t="shared" si="16"/>
        <v>9.7725371488748242E-2</v>
      </c>
      <c r="DH10" s="229">
        <f t="shared" si="17"/>
        <v>36.765125873967094</v>
      </c>
      <c r="DJ10" s="234">
        <f t="shared" si="121"/>
        <v>3.0078472260747547E-2</v>
      </c>
      <c r="DK10" s="234">
        <f t="shared" si="122"/>
        <v>4.0646584136145338E-2</v>
      </c>
      <c r="DL10" s="234">
        <f t="shared" si="123"/>
        <v>3.8057588512746536E-2</v>
      </c>
      <c r="DM10" s="234">
        <f t="shared" si="18"/>
        <v>3.6260881636546477E-2</v>
      </c>
      <c r="DN10" s="234">
        <f t="shared" si="19"/>
        <v>5.5083903140544961E-3</v>
      </c>
      <c r="DO10" s="234">
        <f t="shared" si="20"/>
        <v>15.190999406100266</v>
      </c>
      <c r="DQ10" s="229">
        <f t="shared" si="124"/>
        <v>1.1717850223970552</v>
      </c>
      <c r="DR10" s="229">
        <f t="shared" si="125"/>
        <v>0.62898253412172722</v>
      </c>
      <c r="DS10" s="229">
        <f t="shared" si="126"/>
        <v>1.2717549113809425</v>
      </c>
      <c r="DT10" s="229">
        <f t="shared" si="127"/>
        <v>1.3037316465591844</v>
      </c>
      <c r="DU10" s="229">
        <f t="shared" si="128"/>
        <v>0.62898253412172722</v>
      </c>
      <c r="DV10" s="229">
        <f t="shared" si="129"/>
        <v>1.35256395072</v>
      </c>
      <c r="DW10" s="229">
        <f t="shared" si="130"/>
        <v>0.16256513280000001</v>
      </c>
      <c r="DX10" s="229">
        <f t="shared" si="131"/>
        <v>0.52241194925512913</v>
      </c>
      <c r="DY10" s="229">
        <f t="shared" si="21"/>
        <v>0.88034721016947071</v>
      </c>
      <c r="DZ10" s="229">
        <f t="shared" si="22"/>
        <v>0.44882006899435389</v>
      </c>
      <c r="EA10" s="229">
        <f t="shared" si="23"/>
        <v>50.982165196837968</v>
      </c>
      <c r="EC10" s="235">
        <f t="shared" si="132"/>
        <v>6.1108059615689818E-2</v>
      </c>
      <c r="ED10" s="235">
        <f t="shared" si="133"/>
        <v>5.7586346261859572E-2</v>
      </c>
      <c r="EE10" s="235">
        <f t="shared" si="134"/>
        <v>4.4711242549759875E-2</v>
      </c>
      <c r="EF10" s="235">
        <f t="shared" si="135"/>
        <v>5.4507705705163161E-2</v>
      </c>
      <c r="EG10" s="235">
        <f t="shared" si="136"/>
        <v>5.4478338533118106E-2</v>
      </c>
      <c r="EH10" s="235">
        <f t="shared" si="137"/>
        <v>7.0476932409013317E-3</v>
      </c>
      <c r="EI10" s="235">
        <f t="shared" si="24"/>
        <v>12.936689022953491</v>
      </c>
      <c r="EK10" s="236">
        <f t="shared" si="138"/>
        <v>3.3916349344978167</v>
      </c>
      <c r="EL10" s="236">
        <f t="shared" si="139"/>
        <v>5.4715868381651553</v>
      </c>
      <c r="EM10" s="236">
        <f t="shared" si="140"/>
        <v>5.4715868381651553</v>
      </c>
      <c r="EN10" s="236">
        <f t="shared" si="141"/>
        <v>6.6946527173529953</v>
      </c>
      <c r="EO10" s="236">
        <f t="shared" si="142"/>
        <v>4.7987319788407188</v>
      </c>
      <c r="EP10" s="236">
        <f t="shared" si="143"/>
        <v>5.4715868381651553</v>
      </c>
      <c r="EQ10" s="236">
        <f t="shared" si="144"/>
        <v>4.0989525198653958</v>
      </c>
      <c r="ER10" s="236">
        <f t="shared" si="145"/>
        <v>5.0569618092931989</v>
      </c>
      <c r="ES10" s="236">
        <f t="shared" si="146"/>
        <v>1.0766886967243721</v>
      </c>
      <c r="ET10" s="236">
        <f t="shared" si="25"/>
        <v>21.291216689549383</v>
      </c>
      <c r="EV10" s="238">
        <f t="shared" si="147"/>
        <v>4.0648256465777438E-3</v>
      </c>
      <c r="EW10" s="238">
        <f t="shared" si="148"/>
        <v>4.0648256465777438E-3</v>
      </c>
      <c r="EX10" s="238" t="e">
        <f t="shared" si="149"/>
        <v>#DIV/0!</v>
      </c>
      <c r="EY10" s="238" t="e">
        <f t="shared" si="26"/>
        <v>#DIV/0!</v>
      </c>
      <c r="FA10" s="240">
        <f t="shared" si="150"/>
        <v>0.12600441082205055</v>
      </c>
      <c r="FB10" s="240">
        <f t="shared" si="151"/>
        <v>6.4697767126733352E-9</v>
      </c>
      <c r="FC10" s="240">
        <f t="shared" si="152"/>
        <v>6.3002208645913632E-2</v>
      </c>
      <c r="FD10" s="240">
        <f t="shared" si="153"/>
        <v>8.9098568776864548E-2</v>
      </c>
      <c r="FE10" s="240">
        <f t="shared" si="27"/>
        <v>141.42134171457107</v>
      </c>
      <c r="FG10" s="236">
        <f t="shared" si="154"/>
        <v>0.39928642525439273</v>
      </c>
      <c r="FH10" s="236">
        <f t="shared" si="155"/>
        <v>0.40469694605046641</v>
      </c>
      <c r="FI10" s="236">
        <f t="shared" si="156"/>
        <v>0.33533431912319905</v>
      </c>
      <c r="FJ10" s="236">
        <f t="shared" si="157"/>
        <v>0.23153788461538449</v>
      </c>
      <c r="FK10" s="236">
        <f t="shared" si="158"/>
        <v>0.36509656095936732</v>
      </c>
      <c r="FL10" s="236">
        <f t="shared" si="159"/>
        <v>0.2324443923076922</v>
      </c>
      <c r="FM10" s="236">
        <f t="shared" si="160"/>
        <v>0.32806608805175036</v>
      </c>
      <c r="FN10" s="236">
        <f t="shared" si="161"/>
        <v>7.8523767982909234E-2</v>
      </c>
      <c r="FO10" s="236">
        <f t="shared" si="28"/>
        <v>23.935350480517389</v>
      </c>
      <c r="FQ10" s="227">
        <f t="shared" si="162"/>
        <v>0.12773598143522213</v>
      </c>
      <c r="FR10" s="227">
        <f t="shared" si="163"/>
        <v>0.11793471571364629</v>
      </c>
      <c r="FS10" s="227">
        <f t="shared" si="164"/>
        <v>0.11793471571364629</v>
      </c>
      <c r="FT10" s="227">
        <f t="shared" si="165"/>
        <v>9.7060476893203892E-2</v>
      </c>
      <c r="FU10" s="227">
        <f t="shared" si="166"/>
        <v>8.4687158047658806E-2</v>
      </c>
      <c r="FV10" s="227">
        <f t="shared" si="29"/>
        <v>0.10907060956067549</v>
      </c>
      <c r="FW10" s="227">
        <f t="shared" si="30"/>
        <v>1.7637579605598388E-2</v>
      </c>
      <c r="FX10" s="227">
        <f t="shared" si="31"/>
        <v>16.170790350068305</v>
      </c>
      <c r="FZ10" s="230">
        <f t="shared" si="167"/>
        <v>0.42678913342952607</v>
      </c>
      <c r="GA10" s="230">
        <f t="shared" si="168"/>
        <v>0.53527813440000005</v>
      </c>
      <c r="GB10" s="230">
        <f t="shared" si="169"/>
        <v>0.63415695856976428</v>
      </c>
      <c r="GC10" s="230">
        <f t="shared" si="170"/>
        <v>0.5320747421330968</v>
      </c>
      <c r="GD10" s="230">
        <f t="shared" si="171"/>
        <v>0.1037210201326612</v>
      </c>
      <c r="GE10" s="230">
        <f t="shared" si="32"/>
        <v>19.49369363350003</v>
      </c>
      <c r="GG10" s="231">
        <f t="shared" si="172"/>
        <v>2.8452608895301736E-2</v>
      </c>
      <c r="GH10" s="231">
        <f t="shared" si="173"/>
        <v>1.7611268625135332E-2</v>
      </c>
      <c r="GI10" s="231">
        <f t="shared" si="174"/>
        <v>5.719904761904762E-3</v>
      </c>
      <c r="GJ10" s="231">
        <f t="shared" si="175"/>
        <v>4.8685868779512849E-3</v>
      </c>
      <c r="GK10" s="245">
        <f t="shared" si="186"/>
        <v>9.3999200883304601E-3</v>
      </c>
      <c r="GL10" s="231">
        <f t="shared" si="187"/>
        <v>7.1239644250621018E-3</v>
      </c>
      <c r="GM10" s="231">
        <f t="shared" si="33"/>
        <v>75.787499873601632</v>
      </c>
      <c r="GO10" s="246">
        <f t="shared" si="176"/>
        <v>5.3033461538461543E-2</v>
      </c>
      <c r="GP10" s="246">
        <f t="shared" si="177"/>
        <v>4.6743571756567133E-2</v>
      </c>
      <c r="GQ10" s="247">
        <f t="shared" si="188"/>
        <v>4.9888516647514342E-2</v>
      </c>
      <c r="GR10" s="246">
        <f t="shared" si="189"/>
        <v>4.4476237176935118E-3</v>
      </c>
      <c r="GS10" s="246">
        <f t="shared" si="34"/>
        <v>8.9151251962812399</v>
      </c>
      <c r="GU10" s="249">
        <f t="shared" si="178"/>
        <v>5.7575886428849867E-3</v>
      </c>
      <c r="GV10" s="249">
        <f t="shared" si="179"/>
        <v>5.7575886428849867E-3</v>
      </c>
      <c r="GW10" s="249" t="e">
        <f t="shared" si="180"/>
        <v>#DIV/0!</v>
      </c>
      <c r="GX10" s="249" t="e">
        <f t="shared" si="35"/>
        <v>#DIV/0!</v>
      </c>
      <c r="GZ10" s="240">
        <f t="shared" si="181"/>
        <v>6.0969876204218006E-3</v>
      </c>
      <c r="HA10" s="240">
        <f t="shared" si="182"/>
        <v>6.0969876204218006E-3</v>
      </c>
      <c r="HB10" s="240" t="e">
        <f t="shared" si="183"/>
        <v>#DIV/0!</v>
      </c>
      <c r="HC10" s="240" t="e">
        <f t="shared" si="36"/>
        <v>#DIV/0!</v>
      </c>
      <c r="HE10" s="234">
        <f t="shared" si="184"/>
        <v>2.3754517561006473E-2</v>
      </c>
      <c r="HF10" s="234">
        <f t="shared" si="185"/>
        <v>2.3754517561006473E-2</v>
      </c>
      <c r="HG10" s="251">
        <f t="shared" si="190"/>
        <v>2.3754517561006473E-2</v>
      </c>
      <c r="HH10" s="234">
        <f t="shared" si="191"/>
        <v>0</v>
      </c>
      <c r="HI10" s="234">
        <f t="shared" si="37"/>
        <v>0</v>
      </c>
    </row>
    <row r="11" spans="1:217" ht="15.6" x14ac:dyDescent="0.25">
      <c r="B11">
        <v>7</v>
      </c>
      <c r="C11" s="124">
        <f t="shared" si="38"/>
        <v>23.247261541335661</v>
      </c>
      <c r="D11" s="124">
        <f t="shared" si="39"/>
        <v>124.62225024930788</v>
      </c>
      <c r="E11" s="29">
        <f t="shared" si="40"/>
        <v>1.0838808812210083</v>
      </c>
      <c r="F11" s="29">
        <f t="shared" si="41"/>
        <v>0.91010327800445334</v>
      </c>
      <c r="G11" s="29">
        <f t="shared" si="42"/>
        <v>0.90444287382672173</v>
      </c>
      <c r="H11" s="29">
        <f t="shared" si="43"/>
        <v>0.90971600001381325</v>
      </c>
      <c r="I11" s="29">
        <f t="shared" si="44"/>
        <v>0.91634534296884973</v>
      </c>
      <c r="J11" s="29">
        <f t="shared" si="45"/>
        <v>0.90971600001381325</v>
      </c>
      <c r="K11" s="29">
        <f t="shared" si="46"/>
        <v>0.89229640241990582</v>
      </c>
      <c r="L11" s="125">
        <f t="shared" si="0"/>
        <v>0.93235725406693803</v>
      </c>
      <c r="M11" s="126">
        <f t="shared" si="1"/>
        <v>6.7231400851345269E-2</v>
      </c>
      <c r="N11" s="126">
        <f t="shared" si="47"/>
        <v>7.2109055362718752</v>
      </c>
      <c r="P11" s="138">
        <f t="shared" si="48"/>
        <v>195.79502335405698</v>
      </c>
      <c r="Q11" s="138">
        <f t="shared" si="49"/>
        <v>271.29239999999999</v>
      </c>
      <c r="R11" s="138">
        <f t="shared" si="50"/>
        <v>195.79502335405698</v>
      </c>
      <c r="S11" s="138">
        <f t="shared" si="51"/>
        <v>193.5040661902288</v>
      </c>
      <c r="T11" s="138">
        <f t="shared" si="52"/>
        <v>175.9131662509966</v>
      </c>
      <c r="U11" s="138">
        <f t="shared" si="53"/>
        <v>195.79502335405698</v>
      </c>
      <c r="V11" s="138">
        <f t="shared" si="54"/>
        <v>247.68368627661675</v>
      </c>
      <c r="W11" s="138">
        <f t="shared" si="55"/>
        <v>210.8254841114304</v>
      </c>
      <c r="X11" s="138">
        <f t="shared" si="56"/>
        <v>34.668479182226648</v>
      </c>
      <c r="Y11" s="138">
        <f t="shared" si="57"/>
        <v>16.444159646232738</v>
      </c>
      <c r="AA11" s="227">
        <f t="shared" si="58"/>
        <v>0.37637269745000002</v>
      </c>
      <c r="AB11" s="227">
        <f t="shared" si="59"/>
        <v>0.37973684210526315</v>
      </c>
      <c r="AC11" s="227">
        <f t="shared" si="60"/>
        <v>0.41374739117011544</v>
      </c>
      <c r="AD11" s="227">
        <f t="shared" si="61"/>
        <v>0.37637269745000002</v>
      </c>
      <c r="AE11" s="227">
        <f t="shared" si="62"/>
        <v>0.38655740704384467</v>
      </c>
      <c r="AF11" s="227">
        <f t="shared" si="63"/>
        <v>1.8195896624332335E-2</v>
      </c>
      <c r="AG11" s="227">
        <f t="shared" si="64"/>
        <v>4.7071654281529502</v>
      </c>
      <c r="AI11" s="228">
        <f t="shared" si="65"/>
        <v>1.7788912555312706</v>
      </c>
      <c r="AJ11" s="228">
        <f t="shared" si="66"/>
        <v>1.7788912555312706</v>
      </c>
      <c r="AK11" s="228">
        <f t="shared" si="67"/>
        <v>1.7788912555312706</v>
      </c>
      <c r="AL11" s="228">
        <f t="shared" si="68"/>
        <v>2.0850902161652178</v>
      </c>
      <c r="AM11" s="228">
        <f t="shared" si="69"/>
        <v>1.847996</v>
      </c>
      <c r="AN11" s="228">
        <f t="shared" si="70"/>
        <v>1.7984174517423435</v>
      </c>
      <c r="AO11" s="228">
        <f t="shared" si="71"/>
        <v>1.9057266941679767</v>
      </c>
      <c r="AP11" s="228">
        <f t="shared" si="72"/>
        <v>1.8534148755241928</v>
      </c>
      <c r="AQ11" s="228">
        <f t="shared" si="73"/>
        <v>0.11263908474717718</v>
      </c>
      <c r="AR11" s="228">
        <f t="shared" si="74"/>
        <v>6.0773810674914319</v>
      </c>
      <c r="AT11" s="229">
        <f t="shared" si="75"/>
        <v>1.2735027855153205</v>
      </c>
      <c r="AU11" s="229">
        <f t="shared" si="76"/>
        <v>1.2736866938068645</v>
      </c>
      <c r="AV11" s="229">
        <f t="shared" si="77"/>
        <v>1.1415922550663948</v>
      </c>
      <c r="AW11" s="229">
        <f t="shared" si="78"/>
        <v>1.2735027855153205</v>
      </c>
      <c r="AX11" s="229">
        <f t="shared" si="79"/>
        <v>0.4329043447384881</v>
      </c>
      <c r="AY11" s="229">
        <f t="shared" si="80"/>
        <v>1.2222804851232261</v>
      </c>
      <c r="AZ11" s="229">
        <f t="shared" si="81"/>
        <v>1.282736146827306</v>
      </c>
      <c r="BA11" s="229">
        <f t="shared" si="82"/>
        <v>1.3175430909978825</v>
      </c>
      <c r="BB11" s="229">
        <f t="shared" si="83"/>
        <v>1.1522185734488501</v>
      </c>
      <c r="BC11" s="229">
        <f t="shared" si="84"/>
        <v>0.29543570904559607</v>
      </c>
      <c r="BD11" s="229">
        <f t="shared" si="85"/>
        <v>25.640595964469686</v>
      </c>
      <c r="BF11" s="230">
        <f t="shared" si="86"/>
        <v>8.4184671938068636</v>
      </c>
      <c r="BG11" s="230">
        <f t="shared" si="87"/>
        <v>2.2636465429999997</v>
      </c>
      <c r="BH11" s="230">
        <f t="shared" si="88"/>
        <v>2.3103925208934308</v>
      </c>
      <c r="BI11" s="230">
        <f t="shared" si="2"/>
        <v>4.3308354192334315</v>
      </c>
      <c r="BJ11" s="230">
        <f t="shared" si="3"/>
        <v>3.5400701179480967</v>
      </c>
      <c r="BK11" s="230">
        <f t="shared" si="89"/>
        <v>81.741044746851586</v>
      </c>
      <c r="BM11" s="227">
        <f t="shared" si="90"/>
        <v>9.8045425692275696</v>
      </c>
      <c r="BN11" s="227">
        <f t="shared" si="91"/>
        <v>6.9615960790730638</v>
      </c>
      <c r="BO11" s="227">
        <f t="shared" si="92"/>
        <v>7.6921901510221566</v>
      </c>
      <c r="BP11" s="227">
        <f t="shared" si="93"/>
        <v>6.9615960790730638</v>
      </c>
      <c r="BQ11" s="227">
        <f t="shared" si="94"/>
        <v>3.8239379807692266</v>
      </c>
      <c r="BR11" s="227">
        <f t="shared" si="95"/>
        <v>6.5977099922298406</v>
      </c>
      <c r="BS11" s="227">
        <f t="shared" si="96"/>
        <v>6.5795401441062156</v>
      </c>
      <c r="BT11" s="227">
        <f t="shared" si="4"/>
        <v>6.9173018565001616</v>
      </c>
      <c r="BU11" s="227">
        <f t="shared" si="5"/>
        <v>1.766619028930158</v>
      </c>
      <c r="BV11" s="227">
        <f t="shared" si="97"/>
        <v>25.539134558224792</v>
      </c>
      <c r="BX11" s="231">
        <f t="shared" si="98"/>
        <v>0.12368279150957966</v>
      </c>
      <c r="BY11" s="231">
        <f t="shared" si="99"/>
        <v>0.12473045890240017</v>
      </c>
      <c r="BZ11" s="231">
        <f t="shared" si="100"/>
        <v>0.13680369733458483</v>
      </c>
      <c r="CA11" s="231">
        <f t="shared" si="101"/>
        <v>0.11520183638095237</v>
      </c>
      <c r="CB11" s="231">
        <f t="shared" si="102"/>
        <v>0.11926043534500604</v>
      </c>
      <c r="CC11" s="231">
        <f t="shared" si="103"/>
        <v>0.13126509841922349</v>
      </c>
      <c r="CD11" s="231">
        <f t="shared" si="104"/>
        <v>0.18476511856546188</v>
      </c>
      <c r="CE11" s="231">
        <f t="shared" si="105"/>
        <v>0.22138415701139305</v>
      </c>
      <c r="CF11" s="231">
        <f t="shared" si="106"/>
        <v>0.14463669918357519</v>
      </c>
      <c r="CG11" s="231">
        <f t="shared" si="107"/>
        <v>3.7959204631221932E-2</v>
      </c>
      <c r="CH11" s="231">
        <f t="shared" si="6"/>
        <v>26.244518054884196</v>
      </c>
      <c r="CJ11" s="232">
        <f t="shared" si="108"/>
        <v>0.58315105759868957</v>
      </c>
      <c r="CK11" s="232">
        <f t="shared" si="109"/>
        <v>0.58315105759868957</v>
      </c>
      <c r="CL11" s="232">
        <f t="shared" si="110"/>
        <v>1.1793957210919408</v>
      </c>
      <c r="CM11" s="232">
        <f t="shared" si="111"/>
        <v>0.68714064335876712</v>
      </c>
      <c r="CN11" s="232">
        <f t="shared" si="112"/>
        <v>0.56990606739592298</v>
      </c>
      <c r="CO11" s="232">
        <f t="shared" si="113"/>
        <v>0.58315105759868957</v>
      </c>
      <c r="CP11" s="232">
        <f t="shared" si="114"/>
        <v>0.58315105759868957</v>
      </c>
      <c r="CQ11" s="232">
        <f t="shared" si="115"/>
        <v>0.65723717996976372</v>
      </c>
      <c r="CR11" s="232">
        <f t="shared" si="116"/>
        <v>1.1646878032209165</v>
      </c>
      <c r="CS11" s="232">
        <f t="shared" si="117"/>
        <v>0.63957666666666646</v>
      </c>
      <c r="CT11" s="232">
        <f t="shared" si="118"/>
        <v>0.74003336519025231</v>
      </c>
      <c r="CU11" s="232">
        <f t="shared" si="119"/>
        <v>0.724598334298999</v>
      </c>
      <c r="CV11" s="232">
        <f t="shared" si="120"/>
        <v>0.22757107842205049</v>
      </c>
      <c r="CW11" s="232">
        <f t="shared" si="7"/>
        <v>31.406514154108628</v>
      </c>
      <c r="CY11" s="229">
        <f t="shared" si="8"/>
        <v>0.39256669092066482</v>
      </c>
      <c r="CZ11" s="229">
        <f t="shared" si="9"/>
        <v>0.15714692897633836</v>
      </c>
      <c r="DA11" s="229">
        <f t="shared" si="10"/>
        <v>0.26775497154390959</v>
      </c>
      <c r="DB11" s="229">
        <f t="shared" si="11"/>
        <v>0.40780926447155086</v>
      </c>
      <c r="DC11" s="229">
        <f t="shared" si="12"/>
        <v>0.3546216190476193</v>
      </c>
      <c r="DD11" s="229">
        <f t="shared" si="13"/>
        <v>0.16273083078934963</v>
      </c>
      <c r="DE11" s="229">
        <f t="shared" si="14"/>
        <v>0.38485876807056391</v>
      </c>
      <c r="DF11" s="229">
        <f t="shared" si="15"/>
        <v>0.3039270105457138</v>
      </c>
      <c r="DG11" s="229">
        <f t="shared" si="16"/>
        <v>0.10844167268917738</v>
      </c>
      <c r="DH11" s="229">
        <f t="shared" si="17"/>
        <v>35.680169555994965</v>
      </c>
      <c r="DJ11" s="234">
        <f t="shared" si="121"/>
        <v>3.440594708117678E-2</v>
      </c>
      <c r="DK11" s="234">
        <f t="shared" si="122"/>
        <v>4.6494523082671324E-2</v>
      </c>
      <c r="DL11" s="234">
        <f t="shared" si="123"/>
        <v>4.3539722598048988E-2</v>
      </c>
      <c r="DM11" s="234">
        <f t="shared" si="18"/>
        <v>4.14800642539657E-2</v>
      </c>
      <c r="DN11" s="234">
        <f t="shared" si="19"/>
        <v>6.3019887183921076E-3</v>
      </c>
      <c r="DO11" s="234">
        <f t="shared" si="20"/>
        <v>15.192813298956272</v>
      </c>
      <c r="DQ11" s="229">
        <f t="shared" si="124"/>
        <v>1.3655485630252779</v>
      </c>
      <c r="DR11" s="229">
        <f t="shared" si="125"/>
        <v>0.69202450917119773</v>
      </c>
      <c r="DS11" s="229">
        <f t="shared" si="126"/>
        <v>1.3985358811004069</v>
      </c>
      <c r="DT11" s="229">
        <f t="shared" si="127"/>
        <v>1.4036208749361863</v>
      </c>
      <c r="DU11" s="229">
        <f t="shared" si="128"/>
        <v>0.69202450917119773</v>
      </c>
      <c r="DV11" s="229">
        <f t="shared" si="129"/>
        <v>1.4110679425400008</v>
      </c>
      <c r="DW11" s="229">
        <f t="shared" si="130"/>
        <v>0.18274835180000004</v>
      </c>
      <c r="DX11" s="229">
        <f t="shared" si="131"/>
        <v>0.60008439982154149</v>
      </c>
      <c r="DY11" s="229">
        <f t="shared" si="21"/>
        <v>0.9682068789457261</v>
      </c>
      <c r="DZ11" s="229">
        <f t="shared" si="22"/>
        <v>0.48311302933694922</v>
      </c>
      <c r="EA11" s="229">
        <f t="shared" si="23"/>
        <v>49.897706765211971</v>
      </c>
      <c r="EC11" s="235">
        <f t="shared" si="132"/>
        <v>6.9521232116683332E-2</v>
      </c>
      <c r="ED11" s="235">
        <f t="shared" si="133"/>
        <v>6.1751479810246673E-2</v>
      </c>
      <c r="EE11" s="235">
        <f t="shared" si="134"/>
        <v>5.1143975390938456E-2</v>
      </c>
      <c r="EF11" s="235">
        <f t="shared" si="135"/>
        <v>6.093126888860579E-2</v>
      </c>
      <c r="EG11" s="235">
        <f t="shared" si="136"/>
        <v>6.0836989051618565E-2</v>
      </c>
      <c r="EH11" s="235">
        <f t="shared" si="137"/>
        <v>7.5325023171704643E-3</v>
      </c>
      <c r="EI11" s="235">
        <f t="shared" si="24"/>
        <v>12.381451538930266</v>
      </c>
      <c r="EK11" s="236">
        <f t="shared" si="138"/>
        <v>3.8677861353711775</v>
      </c>
      <c r="EL11" s="236">
        <f t="shared" si="139"/>
        <v>6.1868913693504259</v>
      </c>
      <c r="EM11" s="236">
        <f t="shared" si="140"/>
        <v>6.1868913693504259</v>
      </c>
      <c r="EN11" s="236">
        <f t="shared" si="141"/>
        <v>7.3645324770196092</v>
      </c>
      <c r="EO11" s="236">
        <f t="shared" si="142"/>
        <v>5.5692813462795057</v>
      </c>
      <c r="EP11" s="236">
        <f t="shared" si="143"/>
        <v>6.1868913693504259</v>
      </c>
      <c r="EQ11" s="236">
        <f t="shared" si="144"/>
        <v>4.7370277060168835</v>
      </c>
      <c r="ER11" s="236">
        <f t="shared" si="145"/>
        <v>5.7284716818197783</v>
      </c>
      <c r="ES11" s="236">
        <f t="shared" si="146"/>
        <v>1.1385366469131233</v>
      </c>
      <c r="ET11" s="236">
        <f t="shared" si="25"/>
        <v>19.875050626966555</v>
      </c>
      <c r="EV11" s="238">
        <f t="shared" si="147"/>
        <v>4.649477684361158E-3</v>
      </c>
      <c r="EW11" s="238">
        <f t="shared" si="148"/>
        <v>4.649477684361158E-3</v>
      </c>
      <c r="EX11" s="238" t="e">
        <f t="shared" si="149"/>
        <v>#DIV/0!</v>
      </c>
      <c r="EY11" s="238" t="e">
        <f t="shared" si="26"/>
        <v>#DIV/0!</v>
      </c>
      <c r="FA11" s="240">
        <f t="shared" si="150"/>
        <v>0.1441330215562811</v>
      </c>
      <c r="FB11" s="240">
        <f t="shared" si="151"/>
        <v>5.0479186125868465E-8</v>
      </c>
      <c r="FC11" s="240">
        <f t="shared" si="152"/>
        <v>7.2066536017733621E-2</v>
      </c>
      <c r="FD11" s="240">
        <f t="shared" si="153"/>
        <v>0.10191740124117836</v>
      </c>
      <c r="FE11" s="240">
        <f t="shared" si="27"/>
        <v>141.42125717836535</v>
      </c>
      <c r="FG11" s="236">
        <f t="shared" si="154"/>
        <v>0.46637684350732905</v>
      </c>
      <c r="FH11" s="236">
        <f t="shared" si="155"/>
        <v>0.46463424124791008</v>
      </c>
      <c r="FI11" s="236">
        <f t="shared" si="156"/>
        <v>0.3835798154320384</v>
      </c>
      <c r="FJ11" s="236">
        <f t="shared" si="157"/>
        <v>0.23844163461538465</v>
      </c>
      <c r="FK11" s="236">
        <f t="shared" si="158"/>
        <v>0.42486021022360354</v>
      </c>
      <c r="FL11" s="236">
        <f t="shared" si="159"/>
        <v>0.23990709903846141</v>
      </c>
      <c r="FM11" s="236">
        <f t="shared" si="160"/>
        <v>0.3696333073441212</v>
      </c>
      <c r="FN11" s="236">
        <f t="shared" si="161"/>
        <v>0.10551696473665954</v>
      </c>
      <c r="FO11" s="236">
        <f t="shared" si="28"/>
        <v>28.546389797720629</v>
      </c>
      <c r="FQ11" s="227">
        <f t="shared" si="162"/>
        <v>0.14468157019733122</v>
      </c>
      <c r="FR11" s="227">
        <f t="shared" si="163"/>
        <v>0.13396737798764405</v>
      </c>
      <c r="FS11" s="227">
        <f t="shared" si="164"/>
        <v>0.13396737798764405</v>
      </c>
      <c r="FT11" s="227">
        <f t="shared" si="165"/>
        <v>0.1075668197087379</v>
      </c>
      <c r="FU11" s="227">
        <f t="shared" si="166"/>
        <v>9.6871338842745694E-2</v>
      </c>
      <c r="FV11" s="227">
        <f t="shared" si="29"/>
        <v>0.12341089694482059</v>
      </c>
      <c r="FW11" s="227">
        <f t="shared" si="30"/>
        <v>2.0190982221937607E-2</v>
      </c>
      <c r="FX11" s="227">
        <f t="shared" si="31"/>
        <v>16.360777469241949</v>
      </c>
      <c r="FZ11" s="230">
        <f t="shared" si="167"/>
        <v>0.4881924923680489</v>
      </c>
      <c r="GA11" s="230">
        <f t="shared" si="168"/>
        <v>0.65215929959999996</v>
      </c>
      <c r="GB11" s="230">
        <f t="shared" si="169"/>
        <v>0.76617833121119883</v>
      </c>
      <c r="GC11" s="230">
        <f t="shared" si="170"/>
        <v>0.63551004105974929</v>
      </c>
      <c r="GD11" s="230">
        <f t="shared" si="171"/>
        <v>0.13973879206142978</v>
      </c>
      <c r="GE11" s="230">
        <f t="shared" si="32"/>
        <v>21.988447551262507</v>
      </c>
      <c r="GG11" s="231">
        <f t="shared" si="172"/>
        <v>3.2546166157869927E-2</v>
      </c>
      <c r="GH11" s="231">
        <f t="shared" si="173"/>
        <v>2.0544558470204703E-2</v>
      </c>
      <c r="GI11" s="231">
        <f t="shared" si="174"/>
        <v>6.9843809523809528E-3</v>
      </c>
      <c r="GJ11" s="231">
        <f t="shared" si="175"/>
        <v>5.674358977292307E-3</v>
      </c>
      <c r="GK11" s="245">
        <f t="shared" si="186"/>
        <v>1.1067766133292654E-2</v>
      </c>
      <c r="GL11" s="231">
        <f t="shared" si="187"/>
        <v>8.2332395897070781E-3</v>
      </c>
      <c r="GM11" s="231">
        <f t="shared" si="33"/>
        <v>74.38935274337689</v>
      </c>
      <c r="GO11" s="246">
        <f t="shared" si="176"/>
        <v>5.991692307692309E-2</v>
      </c>
      <c r="GP11" s="246">
        <f t="shared" si="177"/>
        <v>5.3468701545072016E-2</v>
      </c>
      <c r="GQ11" s="247">
        <f t="shared" si="188"/>
        <v>5.6692812310997556E-2</v>
      </c>
      <c r="GR11" s="246">
        <f t="shared" si="189"/>
        <v>4.5595811717650016E-3</v>
      </c>
      <c r="GS11" s="246">
        <f t="shared" si="34"/>
        <v>8.0426089056099119</v>
      </c>
      <c r="GU11" s="249">
        <f t="shared" si="178"/>
        <v>6.5859491946603926E-3</v>
      </c>
      <c r="GV11" s="249">
        <f t="shared" si="179"/>
        <v>6.5859491946603926E-3</v>
      </c>
      <c r="GW11" s="249" t="e">
        <f t="shared" si="180"/>
        <v>#DIV/0!</v>
      </c>
      <c r="GX11" s="249" t="e">
        <f t="shared" si="35"/>
        <v>#DIV/0!</v>
      </c>
      <c r="GZ11" s="240">
        <f t="shared" si="181"/>
        <v>6.9741784624006986E-3</v>
      </c>
      <c r="HA11" s="240">
        <f t="shared" si="182"/>
        <v>6.9741784624006986E-3</v>
      </c>
      <c r="HB11" s="240" t="e">
        <f t="shared" si="183"/>
        <v>#DIV/0!</v>
      </c>
      <c r="HC11" s="240" t="e">
        <f t="shared" si="36"/>
        <v>#DIV/0!</v>
      </c>
      <c r="HE11" s="234">
        <f t="shared" si="184"/>
        <v>2.7234041234189436E-2</v>
      </c>
      <c r="HF11" s="234">
        <f t="shared" si="185"/>
        <v>2.7234041234189436E-2</v>
      </c>
      <c r="HG11" s="251">
        <f t="shared" si="190"/>
        <v>2.7234041234189436E-2</v>
      </c>
      <c r="HH11" s="234">
        <f t="shared" si="191"/>
        <v>0</v>
      </c>
      <c r="HI11" s="234">
        <f t="shared" si="37"/>
        <v>0</v>
      </c>
    </row>
    <row r="12" spans="1:217" ht="15.6" x14ac:dyDescent="0.25">
      <c r="B12">
        <v>8</v>
      </c>
      <c r="C12" s="124">
        <f t="shared" si="38"/>
        <v>26.906969891397324</v>
      </c>
      <c r="D12" s="124">
        <f t="shared" si="39"/>
        <v>131.52961204210021</v>
      </c>
      <c r="E12" s="29">
        <f t="shared" si="40"/>
        <v>1.1853078105206778</v>
      </c>
      <c r="F12" s="29">
        <f t="shared" si="41"/>
        <v>1.0038669678725938</v>
      </c>
      <c r="G12" s="29">
        <f t="shared" si="42"/>
        <v>1.0008083645668853</v>
      </c>
      <c r="H12" s="29">
        <f t="shared" si="43"/>
        <v>1.0034397904394563</v>
      </c>
      <c r="I12" s="29">
        <f t="shared" si="44"/>
        <v>1.0113821199188291</v>
      </c>
      <c r="J12" s="29">
        <f t="shared" si="45"/>
        <v>1.0034397904394563</v>
      </c>
      <c r="K12" s="29">
        <f t="shared" si="46"/>
        <v>0.98614893970816075</v>
      </c>
      <c r="L12" s="125">
        <f t="shared" si="0"/>
        <v>1.0277705404951514</v>
      </c>
      <c r="M12" s="126">
        <f t="shared" si="1"/>
        <v>6.9882329597220946E-2</v>
      </c>
      <c r="N12" s="126">
        <f t="shared" si="47"/>
        <v>6.7994096779183391</v>
      </c>
      <c r="P12" s="138">
        <f t="shared" si="48"/>
        <v>215.83181350398181</v>
      </c>
      <c r="Q12" s="138">
        <f t="shared" si="49"/>
        <v>295.42840000000001</v>
      </c>
      <c r="R12" s="138">
        <f t="shared" si="50"/>
        <v>215.83181350398181</v>
      </c>
      <c r="S12" s="138">
        <f t="shared" si="51"/>
        <v>213.95250818071813</v>
      </c>
      <c r="T12" s="138">
        <f t="shared" si="52"/>
        <v>197.20508904467681</v>
      </c>
      <c r="U12" s="138">
        <f t="shared" si="53"/>
        <v>215.83181350398181</v>
      </c>
      <c r="V12" s="138">
        <f t="shared" si="54"/>
        <v>267.77679340325705</v>
      </c>
      <c r="W12" s="138">
        <f t="shared" si="55"/>
        <v>231.69403302008533</v>
      </c>
      <c r="X12" s="138">
        <f t="shared" si="56"/>
        <v>35.644340633766248</v>
      </c>
      <c r="Y12" s="138">
        <f t="shared" si="57"/>
        <v>15.384229006310351</v>
      </c>
      <c r="AA12" s="227">
        <f t="shared" si="58"/>
        <v>0.38213056480000002</v>
      </c>
      <c r="AB12" s="227">
        <f t="shared" si="59"/>
        <v>0.38206790123456791</v>
      </c>
      <c r="AC12" s="227">
        <f t="shared" si="60"/>
        <v>0.41856867047226476</v>
      </c>
      <c r="AD12" s="227">
        <f t="shared" si="61"/>
        <v>0.38213056480000002</v>
      </c>
      <c r="AE12" s="227">
        <f t="shared" si="62"/>
        <v>0.39122442532670815</v>
      </c>
      <c r="AF12" s="227">
        <f t="shared" si="63"/>
        <v>1.822952069756344E-2</v>
      </c>
      <c r="AG12" s="227">
        <f t="shared" si="64"/>
        <v>4.6596069972727614</v>
      </c>
      <c r="AI12" s="228">
        <f t="shared" si="65"/>
        <v>2.0011191438958469</v>
      </c>
      <c r="AJ12" s="228">
        <f t="shared" si="66"/>
        <v>2.0011191438958469</v>
      </c>
      <c r="AK12" s="228">
        <f t="shared" si="67"/>
        <v>2.0011191438958469</v>
      </c>
      <c r="AL12" s="228">
        <f t="shared" si="68"/>
        <v>2.4133018172383611</v>
      </c>
      <c r="AM12" s="228">
        <f t="shared" si="69"/>
        <v>2.0591848000000001</v>
      </c>
      <c r="AN12" s="228">
        <f t="shared" si="70"/>
        <v>2.0759695922129127</v>
      </c>
      <c r="AO12" s="228">
        <f t="shared" si="71"/>
        <v>2.1451600355821725</v>
      </c>
      <c r="AP12" s="228">
        <f t="shared" si="72"/>
        <v>2.0995676681029982</v>
      </c>
      <c r="AQ12" s="228">
        <f t="shared" si="73"/>
        <v>0.14819568217038959</v>
      </c>
      <c r="AR12" s="228">
        <f t="shared" si="74"/>
        <v>7.0583903734947189</v>
      </c>
      <c r="AT12" s="229">
        <f t="shared" si="75"/>
        <v>1.2919515226848974</v>
      </c>
      <c r="AU12" s="229">
        <f t="shared" si="76"/>
        <v>1.304277219685879</v>
      </c>
      <c r="AV12" s="229">
        <f t="shared" si="77"/>
        <v>1.1786475760264001</v>
      </c>
      <c r="AW12" s="229">
        <f t="shared" si="78"/>
        <v>1.2919515226848974</v>
      </c>
      <c r="AX12" s="229">
        <f t="shared" si="79"/>
        <v>0.44482265809956933</v>
      </c>
      <c r="AY12" s="229">
        <f t="shared" si="80"/>
        <v>1.234523434334339</v>
      </c>
      <c r="AZ12" s="229">
        <f t="shared" si="81"/>
        <v>1.2902660974150197</v>
      </c>
      <c r="BA12" s="229">
        <f t="shared" si="82"/>
        <v>1.3156983581057766</v>
      </c>
      <c r="BB12" s="229">
        <f t="shared" si="83"/>
        <v>1.1690172986295972</v>
      </c>
      <c r="BC12" s="229">
        <f t="shared" si="84"/>
        <v>0.29606446474142745</v>
      </c>
      <c r="BD12" s="229">
        <f t="shared" si="85"/>
        <v>25.325926749629335</v>
      </c>
      <c r="BF12" s="230">
        <f t="shared" si="86"/>
        <v>9.4133177196858782</v>
      </c>
      <c r="BG12" s="230">
        <f t="shared" si="87"/>
        <v>2.3548571520000001</v>
      </c>
      <c r="BH12" s="230">
        <f t="shared" si="88"/>
        <v>2.3645807530703422</v>
      </c>
      <c r="BI12" s="230">
        <f t="shared" si="2"/>
        <v>4.7109185415854071</v>
      </c>
      <c r="BJ12" s="230">
        <f t="shared" si="3"/>
        <v>4.0724000490809376</v>
      </c>
      <c r="BK12" s="230">
        <f t="shared" si="89"/>
        <v>86.445987404197751</v>
      </c>
      <c r="BM12" s="227">
        <f t="shared" si="90"/>
        <v>11.458210875339784</v>
      </c>
      <c r="BN12" s="227">
        <f t="shared" si="91"/>
        <v>8.203661196764493</v>
      </c>
      <c r="BO12" s="227">
        <f t="shared" si="92"/>
        <v>9.2539157804222647</v>
      </c>
      <c r="BP12" s="227">
        <f t="shared" si="93"/>
        <v>8.203661196764493</v>
      </c>
      <c r="BQ12" s="227">
        <f t="shared" si="94"/>
        <v>4.7016057692307625</v>
      </c>
      <c r="BR12" s="227">
        <f t="shared" si="95"/>
        <v>7.6974273552039163</v>
      </c>
      <c r="BS12" s="227">
        <f t="shared" si="96"/>
        <v>7.3607726970399945</v>
      </c>
      <c r="BT12" s="227">
        <f t="shared" si="4"/>
        <v>8.1256078386808159</v>
      </c>
      <c r="BU12" s="227">
        <f t="shared" si="5"/>
        <v>2.0364842235529026</v>
      </c>
      <c r="BV12" s="227">
        <f t="shared" si="97"/>
        <v>25.06254626095177</v>
      </c>
      <c r="BX12" s="231">
        <f t="shared" si="98"/>
        <v>0.14041177973014343</v>
      </c>
      <c r="BY12" s="231">
        <f t="shared" si="99"/>
        <v>0.13718582477364172</v>
      </c>
      <c r="BZ12" s="231">
        <f t="shared" si="100"/>
        <v>0.15339692403129093</v>
      </c>
      <c r="CA12" s="231">
        <f t="shared" si="101"/>
        <v>0.12730068266666669</v>
      </c>
      <c r="CB12" s="231">
        <f t="shared" si="102"/>
        <v>0.13520693845840276</v>
      </c>
      <c r="CC12" s="231">
        <f t="shared" si="103"/>
        <v>0.14709351529802256</v>
      </c>
      <c r="CD12" s="231">
        <f t="shared" si="104"/>
        <v>0.21167570464229613</v>
      </c>
      <c r="CE12" s="231">
        <f t="shared" si="105"/>
        <v>0.25697833397859859</v>
      </c>
      <c r="CF12" s="231">
        <f t="shared" si="106"/>
        <v>0.16365621294738286</v>
      </c>
      <c r="CG12" s="231">
        <f t="shared" si="107"/>
        <v>4.5929350630679558E-2</v>
      </c>
      <c r="CH12" s="231">
        <f t="shared" si="6"/>
        <v>28.064532231016681</v>
      </c>
      <c r="CJ12" s="232">
        <f t="shared" si="108"/>
        <v>0.65359030378406757</v>
      </c>
      <c r="CK12" s="232">
        <f t="shared" si="109"/>
        <v>0.65359030378406757</v>
      </c>
      <c r="CL12" s="232">
        <f t="shared" si="110"/>
        <v>1.2749739937204259</v>
      </c>
      <c r="CM12" s="232">
        <f t="shared" si="111"/>
        <v>0.77597509974074974</v>
      </c>
      <c r="CN12" s="232">
        <f t="shared" si="112"/>
        <v>0.65965190538241081</v>
      </c>
      <c r="CO12" s="232">
        <f t="shared" si="113"/>
        <v>0.65359030378406757</v>
      </c>
      <c r="CP12" s="232">
        <f t="shared" si="114"/>
        <v>0.65359030378406757</v>
      </c>
      <c r="CQ12" s="232">
        <f t="shared" si="115"/>
        <v>0.73449343753706164</v>
      </c>
      <c r="CR12" s="232">
        <f t="shared" si="116"/>
        <v>1.348039191559006</v>
      </c>
      <c r="CS12" s="232">
        <f t="shared" si="117"/>
        <v>0.69618171428571396</v>
      </c>
      <c r="CT12" s="232">
        <f t="shared" si="118"/>
        <v>0.80704712218472774</v>
      </c>
      <c r="CU12" s="232">
        <f t="shared" si="119"/>
        <v>0.81006578904966953</v>
      </c>
      <c r="CV12" s="232">
        <f t="shared" si="120"/>
        <v>0.25415934316470379</v>
      </c>
      <c r="CW12" s="232">
        <f t="shared" si="7"/>
        <v>31.375148364538564</v>
      </c>
      <c r="CY12" s="229">
        <f t="shared" si="8"/>
        <v>0.44838412348271833</v>
      </c>
      <c r="CZ12" s="229">
        <f t="shared" si="9"/>
        <v>0.187204530837633</v>
      </c>
      <c r="DA12" s="229">
        <f t="shared" si="10"/>
        <v>0.30833912746045483</v>
      </c>
      <c r="DB12" s="229">
        <f t="shared" si="11"/>
        <v>0.46752832117247667</v>
      </c>
      <c r="DC12" s="229">
        <f t="shared" si="12"/>
        <v>0.38994323809523818</v>
      </c>
      <c r="DD12" s="229">
        <f t="shared" si="13"/>
        <v>0.18834878923978127</v>
      </c>
      <c r="DE12" s="229">
        <f t="shared" si="14"/>
        <v>0.43661247193336578</v>
      </c>
      <c r="DF12" s="229">
        <f t="shared" si="15"/>
        <v>0.34662294317452397</v>
      </c>
      <c r="DG12" s="229">
        <f t="shared" si="16"/>
        <v>0.1203320406390883</v>
      </c>
      <c r="DH12" s="229">
        <f t="shared" si="17"/>
        <v>34.715544082868554</v>
      </c>
      <c r="DJ12" s="234">
        <f t="shared" si="121"/>
        <v>3.9822315439268036E-2</v>
      </c>
      <c r="DK12" s="234">
        <f t="shared" si="122"/>
        <v>5.3813939782794647E-2</v>
      </c>
      <c r="DL12" s="234">
        <f t="shared" si="123"/>
        <v>4.9708843742175352E-2</v>
      </c>
      <c r="DM12" s="234">
        <f t="shared" si="18"/>
        <v>4.7781699654746011E-2</v>
      </c>
      <c r="DN12" s="234">
        <f t="shared" si="19"/>
        <v>7.1921346756632304E-3</v>
      </c>
      <c r="DO12" s="234">
        <f t="shared" si="20"/>
        <v>15.052069573981463</v>
      </c>
      <c r="DQ12" s="229">
        <f t="shared" si="124"/>
        <v>1.5592855081171655</v>
      </c>
      <c r="DR12" s="229">
        <f t="shared" si="125"/>
        <v>0.76322798808086589</v>
      </c>
      <c r="DS12" s="229">
        <f t="shared" si="126"/>
        <v>1.541655810742727</v>
      </c>
      <c r="DT12" s="229">
        <f t="shared" si="127"/>
        <v>1.5113970730897281</v>
      </c>
      <c r="DU12" s="229">
        <f t="shared" si="128"/>
        <v>0.76322798808086589</v>
      </c>
      <c r="DV12" s="229">
        <f t="shared" si="129"/>
        <v>1.4640128089600002</v>
      </c>
      <c r="DW12" s="229">
        <f t="shared" si="130"/>
        <v>0.20474241280000005</v>
      </c>
      <c r="DX12" s="229">
        <f t="shared" si="131"/>
        <v>0.70172956968339328</v>
      </c>
      <c r="DY12" s="229">
        <f t="shared" si="21"/>
        <v>1.0636598949443432</v>
      </c>
      <c r="DZ12" s="229">
        <f t="shared" si="22"/>
        <v>0.51880733324578421</v>
      </c>
      <c r="EA12" s="229">
        <f t="shared" si="23"/>
        <v>48.775678740141949</v>
      </c>
      <c r="EC12" s="235">
        <f t="shared" si="132"/>
        <v>7.9917149451097014E-2</v>
      </c>
      <c r="ED12" s="235">
        <f t="shared" si="133"/>
        <v>6.7061208045540777E-2</v>
      </c>
      <c r="EE12" s="235">
        <f t="shared" si="134"/>
        <v>5.9195333761074116E-2</v>
      </c>
      <c r="EF12" s="235">
        <f t="shared" si="135"/>
        <v>6.8159793189361051E-2</v>
      </c>
      <c r="EG12" s="235">
        <f t="shared" si="136"/>
        <v>6.8583371111768238E-2</v>
      </c>
      <c r="EH12" s="235">
        <f t="shared" si="137"/>
        <v>8.5456845912543263E-3</v>
      </c>
      <c r="EI12" s="235">
        <f t="shared" si="24"/>
        <v>12.460286586565836</v>
      </c>
      <c r="EK12" s="236">
        <f t="shared" si="138"/>
        <v>4.6405257641921374</v>
      </c>
      <c r="EL12" s="236">
        <f t="shared" si="139"/>
        <v>7.2469861240545974</v>
      </c>
      <c r="EM12" s="236">
        <f t="shared" si="140"/>
        <v>7.2469861240545974</v>
      </c>
      <c r="EN12" s="236">
        <f t="shared" si="141"/>
        <v>8.004651371140632</v>
      </c>
      <c r="EO12" s="236">
        <f t="shared" si="142"/>
        <v>6.5676349134442642</v>
      </c>
      <c r="EP12" s="236">
        <f t="shared" si="143"/>
        <v>7.2469861240545974</v>
      </c>
      <c r="EQ12" s="236">
        <f t="shared" si="144"/>
        <v>5.5385472120701689</v>
      </c>
      <c r="ER12" s="236">
        <f t="shared" si="145"/>
        <v>6.641759661858714</v>
      </c>
      <c r="ES12" s="236">
        <f t="shared" si="146"/>
        <v>1.1678955663729411</v>
      </c>
      <c r="ET12" s="236">
        <f t="shared" si="25"/>
        <v>17.584128692276447</v>
      </c>
      <c r="EV12" s="238">
        <f t="shared" si="147"/>
        <v>5.3813978744944521E-3</v>
      </c>
      <c r="EW12" s="238">
        <f t="shared" si="148"/>
        <v>5.3813978744944521E-3</v>
      </c>
      <c r="EX12" s="238" t="e">
        <f t="shared" si="149"/>
        <v>#DIV/0!</v>
      </c>
      <c r="EY12" s="238" t="e">
        <f t="shared" si="26"/>
        <v>#DIV/0!</v>
      </c>
      <c r="FA12" s="240">
        <f t="shared" si="150"/>
        <v>0.16682321332666342</v>
      </c>
      <c r="FB12" s="240">
        <f t="shared" si="151"/>
        <v>3.9851996323473366E-7</v>
      </c>
      <c r="FC12" s="240">
        <f t="shared" si="152"/>
        <v>8.341180592331332E-2</v>
      </c>
      <c r="FD12" s="240">
        <f t="shared" si="153"/>
        <v>0.1179615436064453</v>
      </c>
      <c r="FE12" s="240">
        <f t="shared" si="27"/>
        <v>141.42068056276844</v>
      </c>
      <c r="FG12" s="236">
        <f t="shared" si="154"/>
        <v>0.53364637183749031</v>
      </c>
      <c r="FH12" s="236">
        <f t="shared" si="155"/>
        <v>0.53815512365804286</v>
      </c>
      <c r="FI12" s="236">
        <f t="shared" si="156"/>
        <v>0.44396500320805588</v>
      </c>
      <c r="FJ12" s="236">
        <f t="shared" si="157"/>
        <v>0.2532832692307691</v>
      </c>
      <c r="FK12" s="236">
        <f t="shared" si="158"/>
        <v>0.49612577876072306</v>
      </c>
      <c r="FL12" s="236">
        <f t="shared" si="159"/>
        <v>0.25494093076923074</v>
      </c>
      <c r="FM12" s="236">
        <f t="shared" si="160"/>
        <v>0.4200194129107187</v>
      </c>
      <c r="FN12" s="236">
        <f t="shared" si="161"/>
        <v>0.13287930541788859</v>
      </c>
      <c r="FO12" s="236">
        <f t="shared" si="28"/>
        <v>31.636467585400403</v>
      </c>
      <c r="FQ12" s="227">
        <f t="shared" si="162"/>
        <v>0.16135722137918765</v>
      </c>
      <c r="FR12" s="227">
        <f t="shared" si="163"/>
        <v>0.15203141540174095</v>
      </c>
      <c r="FS12" s="227">
        <f t="shared" si="164"/>
        <v>0.15203141540174095</v>
      </c>
      <c r="FT12" s="227">
        <f t="shared" si="165"/>
        <v>0.11984016932038842</v>
      </c>
      <c r="FU12" s="227">
        <f t="shared" si="166"/>
        <v>0.11212134353745264</v>
      </c>
      <c r="FV12" s="227">
        <f t="shared" si="29"/>
        <v>0.13947631300810212</v>
      </c>
      <c r="FW12" s="227">
        <f t="shared" si="30"/>
        <v>2.1953973655343368E-2</v>
      </c>
      <c r="FX12" s="227">
        <f t="shared" si="31"/>
        <v>15.740288212284526</v>
      </c>
      <c r="FZ12" s="230">
        <f t="shared" si="167"/>
        <v>0.5650463677193438</v>
      </c>
      <c r="GA12" s="230">
        <f t="shared" si="168"/>
        <v>0.80359188160000006</v>
      </c>
      <c r="GB12" s="230">
        <f t="shared" si="169"/>
        <v>0.92799568176266611</v>
      </c>
      <c r="GC12" s="230">
        <f t="shared" si="170"/>
        <v>0.76554464369400332</v>
      </c>
      <c r="GD12" s="230">
        <f t="shared" si="171"/>
        <v>0.18444171267730114</v>
      </c>
      <c r="GE12" s="230">
        <f t="shared" si="32"/>
        <v>24.092874817503724</v>
      </c>
      <c r="GG12" s="231">
        <f t="shared" si="172"/>
        <v>3.7669757847956252E-2</v>
      </c>
      <c r="GH12" s="231">
        <f t="shared" si="173"/>
        <v>2.3477641972518209E-2</v>
      </c>
      <c r="GI12" s="231">
        <f t="shared" si="174"/>
        <v>8.5033333333333332E-3</v>
      </c>
      <c r="GJ12" s="231">
        <f t="shared" si="175"/>
        <v>6.891101007733943E-3</v>
      </c>
      <c r="GK12" s="245">
        <f t="shared" si="186"/>
        <v>1.295735877119516E-2</v>
      </c>
      <c r="GL12" s="231">
        <f t="shared" si="187"/>
        <v>9.1464251073824932E-3</v>
      </c>
      <c r="GM12" s="231">
        <f t="shared" si="33"/>
        <v>70.588653666945163</v>
      </c>
      <c r="GO12" s="246">
        <f t="shared" si="176"/>
        <v>6.7674615384615389E-2</v>
      </c>
      <c r="GP12" s="246">
        <f t="shared" si="177"/>
        <v>6.1886030750213844E-2</v>
      </c>
      <c r="GQ12" s="247">
        <f t="shared" si="188"/>
        <v>6.4780323067414616E-2</v>
      </c>
      <c r="GR12" s="246">
        <f t="shared" si="189"/>
        <v>4.0931474484575845E-3</v>
      </c>
      <c r="GS12" s="246">
        <f t="shared" si="34"/>
        <v>6.3185042226448749</v>
      </c>
      <c r="GU12" s="249">
        <f t="shared" si="178"/>
        <v>7.6227445702328617E-3</v>
      </c>
      <c r="GV12" s="249">
        <f t="shared" si="179"/>
        <v>7.6227445702328617E-3</v>
      </c>
      <c r="GW12" s="249" t="e">
        <f t="shared" si="180"/>
        <v>#DIV/0!</v>
      </c>
      <c r="GX12" s="249" t="e">
        <f t="shared" si="35"/>
        <v>#DIV/0!</v>
      </c>
      <c r="GZ12" s="240">
        <f t="shared" si="181"/>
        <v>8.0720909674191973E-3</v>
      </c>
      <c r="HA12" s="240">
        <f t="shared" si="182"/>
        <v>8.0720909674191973E-3</v>
      </c>
      <c r="HB12" s="240" t="e">
        <f t="shared" si="183"/>
        <v>#DIV/0!</v>
      </c>
      <c r="HC12" s="240" t="e">
        <f t="shared" si="36"/>
        <v>#DIV/0!</v>
      </c>
      <c r="HE12" s="234">
        <f t="shared" si="184"/>
        <v>3.1589094170762812E-2</v>
      </c>
      <c r="HF12" s="234">
        <f t="shared" si="185"/>
        <v>3.1589094170762812E-2</v>
      </c>
      <c r="HG12" s="251">
        <f t="shared" si="190"/>
        <v>3.1589094170762812E-2</v>
      </c>
      <c r="HH12" s="234">
        <f t="shared" si="191"/>
        <v>0</v>
      </c>
      <c r="HI12" s="234">
        <f t="shared" si="37"/>
        <v>0</v>
      </c>
    </row>
    <row r="13" spans="1:217" ht="15.6" x14ac:dyDescent="0.25">
      <c r="B13">
        <v>9</v>
      </c>
      <c r="C13" s="124">
        <f t="shared" si="38"/>
        <v>31.177003478033033</v>
      </c>
      <c r="D13" s="124">
        <f t="shared" si="39"/>
        <v>137.95268609749291</v>
      </c>
      <c r="E13" s="29">
        <f t="shared" si="40"/>
        <v>1.2926049438295015</v>
      </c>
      <c r="F13" s="29">
        <f t="shared" si="41"/>
        <v>1.1049908747564023</v>
      </c>
      <c r="G13" s="29">
        <f t="shared" si="42"/>
        <v>1.1029359642586123</v>
      </c>
      <c r="H13" s="29">
        <f t="shared" si="43"/>
        <v>1.1045206658735274</v>
      </c>
      <c r="I13" s="29">
        <f t="shared" si="44"/>
        <v>1.1139770243820879</v>
      </c>
      <c r="J13" s="29">
        <f t="shared" si="45"/>
        <v>1.1045206658735272</v>
      </c>
      <c r="K13" s="29">
        <f t="shared" si="46"/>
        <v>1.0878110259406406</v>
      </c>
      <c r="L13" s="125">
        <f t="shared" si="0"/>
        <v>1.130194452130614</v>
      </c>
      <c r="M13" s="126">
        <f t="shared" si="1"/>
        <v>7.2033626022075151E-2</v>
      </c>
      <c r="N13" s="126">
        <f t="shared" si="47"/>
        <v>6.3735603980606337</v>
      </c>
      <c r="P13" s="138">
        <f t="shared" si="48"/>
        <v>237.34083494742893</v>
      </c>
      <c r="Q13" s="138">
        <f t="shared" si="49"/>
        <v>317.71159999999998</v>
      </c>
      <c r="R13" s="138">
        <f t="shared" si="50"/>
        <v>237.34083494742893</v>
      </c>
      <c r="S13" s="138">
        <f t="shared" si="51"/>
        <v>236.51356082361835</v>
      </c>
      <c r="T13" s="138">
        <f t="shared" si="52"/>
        <v>221.26378832494595</v>
      </c>
      <c r="U13" s="138">
        <f t="shared" si="53"/>
        <v>237.34083494742893</v>
      </c>
      <c r="V13" s="138">
        <f t="shared" si="54"/>
        <v>286.00384473030175</v>
      </c>
      <c r="W13" s="138">
        <f t="shared" si="55"/>
        <v>253.35932838873609</v>
      </c>
      <c r="X13" s="138">
        <f t="shared" si="56"/>
        <v>34.8581871825847</v>
      </c>
      <c r="Y13" s="138">
        <f t="shared" si="57"/>
        <v>13.758398952297837</v>
      </c>
      <c r="AA13" s="227">
        <f t="shared" si="58"/>
        <v>0.38759785935000002</v>
      </c>
      <c r="AB13" s="227">
        <f t="shared" si="59"/>
        <v>0.38412790697674415</v>
      </c>
      <c r="AC13" s="227">
        <f t="shared" si="60"/>
        <v>0.42338995221546305</v>
      </c>
      <c r="AD13" s="227">
        <f t="shared" si="61"/>
        <v>0.38759785935000002</v>
      </c>
      <c r="AE13" s="227">
        <f t="shared" si="62"/>
        <v>0.39567839447305181</v>
      </c>
      <c r="AF13" s="227">
        <f t="shared" si="63"/>
        <v>1.8546646504270427E-2</v>
      </c>
      <c r="AG13" s="227">
        <f t="shared" si="64"/>
        <v>4.6873033158583466</v>
      </c>
      <c r="AI13" s="228">
        <f t="shared" si="65"/>
        <v>2.2445002666856015</v>
      </c>
      <c r="AJ13" s="228">
        <f t="shared" si="66"/>
        <v>2.2445002666856015</v>
      </c>
      <c r="AK13" s="228">
        <f t="shared" si="67"/>
        <v>2.2445002666856015</v>
      </c>
      <c r="AL13" s="228">
        <f t="shared" si="68"/>
        <v>2.7962370298574686</v>
      </c>
      <c r="AM13" s="228">
        <f t="shared" si="69"/>
        <v>2.2422125999999998</v>
      </c>
      <c r="AN13" s="228">
        <f t="shared" si="70"/>
        <v>2.3726073770824869</v>
      </c>
      <c r="AO13" s="228">
        <f t="shared" si="71"/>
        <v>2.4021860779881448</v>
      </c>
      <c r="AP13" s="228">
        <f t="shared" si="72"/>
        <v>2.3638205549978437</v>
      </c>
      <c r="AQ13" s="228">
        <f t="shared" si="73"/>
        <v>0.20249840232052799</v>
      </c>
      <c r="AR13" s="228">
        <f t="shared" si="74"/>
        <v>8.5665725298980124</v>
      </c>
      <c r="AT13" s="229">
        <f t="shared" si="75"/>
        <v>1.3068181818181817</v>
      </c>
      <c r="AU13" s="229">
        <f t="shared" si="76"/>
        <v>1.3214085983776607</v>
      </c>
      <c r="AV13" s="229">
        <f t="shared" si="77"/>
        <v>1.2111797132628772</v>
      </c>
      <c r="AW13" s="229">
        <f t="shared" si="78"/>
        <v>1.3068181818181817</v>
      </c>
      <c r="AX13" s="229">
        <f t="shared" si="79"/>
        <v>0.44274903005494604</v>
      </c>
      <c r="AY13" s="229">
        <f t="shared" si="80"/>
        <v>1.2442850014161058</v>
      </c>
      <c r="AZ13" s="229">
        <f t="shared" si="81"/>
        <v>1.2945117200322493</v>
      </c>
      <c r="BA13" s="229">
        <f t="shared" si="82"/>
        <v>1.313688874907494</v>
      </c>
      <c r="BB13" s="229">
        <f t="shared" si="83"/>
        <v>1.1801824127109621</v>
      </c>
      <c r="BC13" s="229">
        <f t="shared" si="84"/>
        <v>0.30042617488428397</v>
      </c>
      <c r="BD13" s="229">
        <f t="shared" si="85"/>
        <v>25.455910175290942</v>
      </c>
      <c r="BF13" s="230">
        <f t="shared" si="86"/>
        <v>10.394709098377662</v>
      </c>
      <c r="BG13" s="230">
        <f t="shared" si="87"/>
        <v>2.5039550410000015</v>
      </c>
      <c r="BH13" s="230">
        <f t="shared" si="88"/>
        <v>2.5052125662994502</v>
      </c>
      <c r="BI13" s="230">
        <f t="shared" si="2"/>
        <v>5.1346255685590378</v>
      </c>
      <c r="BJ13" s="230">
        <f t="shared" si="3"/>
        <v>4.5553660062441024</v>
      </c>
      <c r="BK13" s="230">
        <f t="shared" si="89"/>
        <v>88.718562734896821</v>
      </c>
      <c r="BM13" s="227">
        <f t="shared" si="90"/>
        <v>13.166700043640068</v>
      </c>
      <c r="BN13" s="227">
        <f t="shared" si="91"/>
        <v>9.5325422856893205</v>
      </c>
      <c r="BO13" s="227">
        <f t="shared" si="92"/>
        <v>11.044691565696464</v>
      </c>
      <c r="BP13" s="227">
        <f t="shared" si="93"/>
        <v>9.5325422856893205</v>
      </c>
      <c r="BQ13" s="227">
        <f t="shared" si="94"/>
        <v>5.8476774038461476</v>
      </c>
      <c r="BR13" s="227">
        <f t="shared" si="95"/>
        <v>8.9693965703910514</v>
      </c>
      <c r="BS13" s="227">
        <f t="shared" si="96"/>
        <v>8.4204260241047315</v>
      </c>
      <c r="BT13" s="227">
        <f t="shared" si="4"/>
        <v>9.5019965970081568</v>
      </c>
      <c r="BU13" s="227">
        <f t="shared" si="5"/>
        <v>2.2590311955350009</v>
      </c>
      <c r="BV13" s="227">
        <f t="shared" si="97"/>
        <v>23.774279147250905</v>
      </c>
      <c r="BX13" s="231">
        <f t="shared" si="98"/>
        <v>0.15849657232134556</v>
      </c>
      <c r="BY13" s="231">
        <f t="shared" si="99"/>
        <v>0.151784347713113</v>
      </c>
      <c r="BZ13" s="231">
        <f t="shared" si="100"/>
        <v>0.17140917958651467</v>
      </c>
      <c r="CA13" s="231">
        <f t="shared" si="101"/>
        <v>0.14126903561904772</v>
      </c>
      <c r="CB13" s="231">
        <f t="shared" si="102"/>
        <v>0.15403659992227356</v>
      </c>
      <c r="CC13" s="231">
        <f t="shared" si="103"/>
        <v>0.1641591307883197</v>
      </c>
      <c r="CD13" s="231">
        <f t="shared" si="104"/>
        <v>0.23868453128094971</v>
      </c>
      <c r="CE13" s="231">
        <f t="shared" si="105"/>
        <v>0.28958384793195763</v>
      </c>
      <c r="CF13" s="231">
        <f t="shared" si="106"/>
        <v>0.1836779056454402</v>
      </c>
      <c r="CG13" s="231">
        <f t="shared" si="107"/>
        <v>5.2238080710044245E-2</v>
      </c>
      <c r="CH13" s="231">
        <f t="shared" si="6"/>
        <v>28.440045919775031</v>
      </c>
      <c r="CJ13" s="232">
        <f t="shared" si="108"/>
        <v>0.73316524933581806</v>
      </c>
      <c r="CK13" s="232">
        <f t="shared" si="109"/>
        <v>0.73316524933581806</v>
      </c>
      <c r="CL13" s="232">
        <f t="shared" si="110"/>
        <v>1.3670984649036086</v>
      </c>
      <c r="CM13" s="232">
        <f t="shared" si="111"/>
        <v>0.8792850644194955</v>
      </c>
      <c r="CN13" s="232">
        <f t="shared" si="112"/>
        <v>0.76486674165248625</v>
      </c>
      <c r="CO13" s="232">
        <f t="shared" si="113"/>
        <v>0.73316524933581806</v>
      </c>
      <c r="CP13" s="232">
        <f t="shared" si="114"/>
        <v>0.73316524933581806</v>
      </c>
      <c r="CQ13" s="232">
        <f t="shared" si="115"/>
        <v>0.82180494948359273</v>
      </c>
      <c r="CR13" s="232">
        <f t="shared" si="116"/>
        <v>1.5619678742494549</v>
      </c>
      <c r="CS13" s="232">
        <f t="shared" si="117"/>
        <v>0.76697457142857095</v>
      </c>
      <c r="CT13" s="232">
        <f t="shared" si="118"/>
        <v>0.87472903329772322</v>
      </c>
      <c r="CU13" s="232">
        <f t="shared" si="119"/>
        <v>0.90630797243438233</v>
      </c>
      <c r="CV13" s="232">
        <f t="shared" si="120"/>
        <v>0.28467859794678407</v>
      </c>
      <c r="CW13" s="232">
        <f t="shared" si="7"/>
        <v>31.410801472056466</v>
      </c>
      <c r="CY13" s="229">
        <f t="shared" si="8"/>
        <v>0.50419612624311505</v>
      </c>
      <c r="CZ13" s="229">
        <f t="shared" si="9"/>
        <v>0.22319281234290242</v>
      </c>
      <c r="DA13" s="229">
        <f t="shared" si="10"/>
        <v>0.34491490719806034</v>
      </c>
      <c r="DB13" s="229">
        <f t="shared" si="11"/>
        <v>0.53566601235436206</v>
      </c>
      <c r="DC13" s="229">
        <f t="shared" si="12"/>
        <v>0.43045609523809564</v>
      </c>
      <c r="DD13" s="229">
        <f t="shared" si="13"/>
        <v>0.21823902434623124</v>
      </c>
      <c r="DE13" s="229">
        <f t="shared" si="14"/>
        <v>0.49256896991160926</v>
      </c>
      <c r="DF13" s="229">
        <f t="shared" si="15"/>
        <v>0.39274770680491089</v>
      </c>
      <c r="DG13" s="229">
        <f t="shared" si="16"/>
        <v>0.1327420547468918</v>
      </c>
      <c r="DH13" s="229">
        <f t="shared" si="17"/>
        <v>33.798301669735423</v>
      </c>
      <c r="DJ13" s="234">
        <f t="shared" si="121"/>
        <v>4.6141965147488889E-2</v>
      </c>
      <c r="DK13" s="234">
        <f t="shared" si="122"/>
        <v>6.235400695606607E-2</v>
      </c>
      <c r="DL13" s="234">
        <f t="shared" si="123"/>
        <v>5.6378944412534548E-2</v>
      </c>
      <c r="DM13" s="234">
        <f t="shared" si="18"/>
        <v>5.4958305505363174E-2</v>
      </c>
      <c r="DN13" s="234">
        <f t="shared" si="19"/>
        <v>8.1988557786554003E-3</v>
      </c>
      <c r="DO13" s="234">
        <f t="shared" si="20"/>
        <v>14.918319812198913</v>
      </c>
      <c r="DQ13" s="229">
        <f t="shared" si="124"/>
        <v>1.7529992071387708</v>
      </c>
      <c r="DR13" s="229">
        <f t="shared" si="125"/>
        <v>0.83970304319876421</v>
      </c>
      <c r="DS13" s="229">
        <f t="shared" si="126"/>
        <v>1.6952916781959209</v>
      </c>
      <c r="DT13" s="229">
        <f t="shared" si="127"/>
        <v>1.6187161934730905</v>
      </c>
      <c r="DU13" s="229">
        <f t="shared" si="128"/>
        <v>0.83970304319876421</v>
      </c>
      <c r="DV13" s="229">
        <f t="shared" si="129"/>
        <v>1.5153219457800005</v>
      </c>
      <c r="DW13" s="229">
        <f t="shared" si="130"/>
        <v>0.22954087980000004</v>
      </c>
      <c r="DX13" s="229">
        <f t="shared" si="131"/>
        <v>0.83008102500765535</v>
      </c>
      <c r="DY13" s="229">
        <f t="shared" si="21"/>
        <v>1.1651696269741207</v>
      </c>
      <c r="DZ13" s="229">
        <f t="shared" si="22"/>
        <v>0.55477494238288783</v>
      </c>
      <c r="EA13" s="229">
        <f t="shared" si="23"/>
        <v>47.613234119705538</v>
      </c>
      <c r="EC13" s="235">
        <f t="shared" si="132"/>
        <v>9.1858179960971162E-2</v>
      </c>
      <c r="ED13" s="235">
        <f t="shared" si="133"/>
        <v>7.3557499089184034E-2</v>
      </c>
      <c r="EE13" s="235">
        <f t="shared" si="134"/>
        <v>6.8589407651672679E-2</v>
      </c>
      <c r="EF13" s="235">
        <f t="shared" si="135"/>
        <v>7.5975328604819883E-2</v>
      </c>
      <c r="EG13" s="235">
        <f t="shared" si="136"/>
        <v>7.7495103826661943E-2</v>
      </c>
      <c r="EH13" s="235">
        <f t="shared" si="137"/>
        <v>1.0056901911866428E-2</v>
      </c>
      <c r="EI13" s="235">
        <f t="shared" si="24"/>
        <v>12.977467498283914</v>
      </c>
      <c r="EK13" s="236">
        <f t="shared" si="138"/>
        <v>5.7230590611353698</v>
      </c>
      <c r="EL13" s="236">
        <f t="shared" si="139"/>
        <v>8.6035477505241715</v>
      </c>
      <c r="EM13" s="236">
        <f t="shared" si="140"/>
        <v>8.6035477505241715</v>
      </c>
      <c r="EN13" s="236">
        <f t="shared" si="141"/>
        <v>8.6203824119097341</v>
      </c>
      <c r="EO13" s="236">
        <f t="shared" si="142"/>
        <v>7.7960852152659745</v>
      </c>
      <c r="EP13" s="236">
        <f t="shared" si="143"/>
        <v>8.6035477505241715</v>
      </c>
      <c r="EQ13" s="236">
        <f t="shared" si="144"/>
        <v>6.5137554674077078</v>
      </c>
      <c r="ER13" s="236">
        <f t="shared" si="145"/>
        <v>7.780560772470186</v>
      </c>
      <c r="ES13" s="236">
        <f t="shared" si="146"/>
        <v>1.1955175354642087</v>
      </c>
      <c r="ET13" s="236">
        <f t="shared" si="25"/>
        <v>15.365441777593796</v>
      </c>
      <c r="EV13" s="238">
        <f t="shared" si="147"/>
        <v>6.2354012944836118E-3</v>
      </c>
      <c r="EW13" s="238">
        <f t="shared" si="148"/>
        <v>6.2354012944836118E-3</v>
      </c>
      <c r="EX13" s="238" t="e">
        <f t="shared" si="149"/>
        <v>#DIV/0!</v>
      </c>
      <c r="EY13" s="238" t="e">
        <f t="shared" si="26"/>
        <v>#DIV/0!</v>
      </c>
      <c r="FA13" s="240">
        <f t="shared" si="150"/>
        <v>0.19329742156380481</v>
      </c>
      <c r="FB13" s="240">
        <f t="shared" si="151"/>
        <v>3.1496374858129587E-6</v>
      </c>
      <c r="FC13" s="240">
        <f t="shared" si="152"/>
        <v>9.6650285600645314E-2</v>
      </c>
      <c r="FD13" s="240">
        <f t="shared" si="153"/>
        <v>0.13667969044361666</v>
      </c>
      <c r="FE13" s="240">
        <f t="shared" si="27"/>
        <v>141.4167476011101</v>
      </c>
      <c r="FG13" s="236">
        <f t="shared" si="154"/>
        <v>0.60107334134035906</v>
      </c>
      <c r="FH13" s="236">
        <f t="shared" si="155"/>
        <v>0.62244519534919018</v>
      </c>
      <c r="FI13" s="236">
        <f t="shared" si="156"/>
        <v>0.51442055738754511</v>
      </c>
      <c r="FJ13" s="236">
        <f t="shared" si="157"/>
        <v>0.2789254807692309</v>
      </c>
      <c r="FK13" s="236">
        <f t="shared" si="158"/>
        <v>0.57530893341010869</v>
      </c>
      <c r="FL13" s="236">
        <f t="shared" si="159"/>
        <v>0.28037563750000005</v>
      </c>
      <c r="FM13" s="236">
        <f t="shared" si="160"/>
        <v>0.47875819095940569</v>
      </c>
      <c r="FN13" s="236">
        <f t="shared" si="161"/>
        <v>0.15842319973367913</v>
      </c>
      <c r="FO13" s="236">
        <f t="shared" si="28"/>
        <v>33.090441631130645</v>
      </c>
      <c r="FQ13" s="227">
        <f t="shared" si="162"/>
        <v>0.17779654936521114</v>
      </c>
      <c r="FR13" s="227">
        <f t="shared" si="163"/>
        <v>0.17157615817145588</v>
      </c>
      <c r="FS13" s="227">
        <f t="shared" si="164"/>
        <v>0.17157615817145588</v>
      </c>
      <c r="FT13" s="227">
        <f t="shared" si="165"/>
        <v>0.13388496456310686</v>
      </c>
      <c r="FU13" s="227">
        <f t="shared" si="166"/>
        <v>0.12991457349296365</v>
      </c>
      <c r="FV13" s="227">
        <f t="shared" si="29"/>
        <v>0.15694968075283869</v>
      </c>
      <c r="FW13" s="227">
        <f t="shared" si="30"/>
        <v>2.3050692895019483E-2</v>
      </c>
      <c r="FX13" s="227">
        <f t="shared" si="31"/>
        <v>14.686677146746968</v>
      </c>
      <c r="FZ13" s="230">
        <f t="shared" si="167"/>
        <v>0.65471707303869375</v>
      </c>
      <c r="GA13" s="230">
        <f t="shared" si="168"/>
        <v>0.98993846039999978</v>
      </c>
      <c r="GB13" s="230">
        <f t="shared" si="169"/>
        <v>1.1169345417101366</v>
      </c>
      <c r="GC13" s="230">
        <f t="shared" si="170"/>
        <v>0.92053002504961012</v>
      </c>
      <c r="GD13" s="230">
        <f t="shared" si="171"/>
        <v>0.23879781251008309</v>
      </c>
      <c r="GE13" s="230">
        <f t="shared" si="32"/>
        <v>25.941338795246093</v>
      </c>
      <c r="GG13" s="231">
        <f t="shared" si="172"/>
        <v>4.3647804869246243E-2</v>
      </c>
      <c r="GH13" s="231">
        <f t="shared" si="173"/>
        <v>2.6410545094766664E-2</v>
      </c>
      <c r="GI13" s="231">
        <f t="shared" si="174"/>
        <v>1.0301904761904762E-2</v>
      </c>
      <c r="GJ13" s="231">
        <f t="shared" si="175"/>
        <v>8.6423713659225816E-3</v>
      </c>
      <c r="GK13" s="245">
        <f t="shared" si="186"/>
        <v>1.5118273740864668E-2</v>
      </c>
      <c r="GL13" s="231">
        <f t="shared" si="187"/>
        <v>9.814532949698208E-3</v>
      </c>
      <c r="GM13" s="231">
        <f t="shared" si="33"/>
        <v>64.918343971835498</v>
      </c>
      <c r="GO13" s="246">
        <f t="shared" si="176"/>
        <v>7.6112115384615417E-2</v>
      </c>
      <c r="GP13" s="246">
        <f t="shared" si="177"/>
        <v>7.170710799947598E-2</v>
      </c>
      <c r="GQ13" s="247">
        <f t="shared" si="188"/>
        <v>7.3909611692045699E-2</v>
      </c>
      <c r="GR13" s="246">
        <f t="shared" si="189"/>
        <v>3.1148105932089173E-3</v>
      </c>
      <c r="GS13" s="246">
        <f t="shared" si="34"/>
        <v>4.2143511809900902</v>
      </c>
      <c r="GU13" s="249">
        <f t="shared" si="178"/>
        <v>8.8324450853267591E-3</v>
      </c>
      <c r="GV13" s="249">
        <f t="shared" si="179"/>
        <v>8.8324450853267591E-3</v>
      </c>
      <c r="GW13" s="249" t="e">
        <f t="shared" si="180"/>
        <v>#DIV/0!</v>
      </c>
      <c r="GX13" s="249" t="e">
        <f t="shared" si="35"/>
        <v>#DIV/0!</v>
      </c>
      <c r="GZ13" s="240">
        <f t="shared" si="181"/>
        <v>9.3531010434099102E-3</v>
      </c>
      <c r="HA13" s="240">
        <f t="shared" si="182"/>
        <v>9.3531010434099102E-3</v>
      </c>
      <c r="HB13" s="240" t="e">
        <f t="shared" si="183"/>
        <v>#DIV/0!</v>
      </c>
      <c r="HC13" s="240" t="e">
        <f t="shared" si="36"/>
        <v>#DIV/0!</v>
      </c>
      <c r="HE13" s="234">
        <f t="shared" si="184"/>
        <v>3.6670434138859308E-2</v>
      </c>
      <c r="HF13" s="234">
        <f t="shared" si="185"/>
        <v>3.6670434138859308E-2</v>
      </c>
      <c r="HG13" s="251">
        <f t="shared" si="190"/>
        <v>3.6670434138859308E-2</v>
      </c>
      <c r="HH13" s="234">
        <f t="shared" si="191"/>
        <v>0</v>
      </c>
      <c r="HI13" s="234">
        <f t="shared" si="37"/>
        <v>0</v>
      </c>
    </row>
    <row r="14" spans="1:217" ht="15.6" x14ac:dyDescent="0.25">
      <c r="B14">
        <v>10</v>
      </c>
      <c r="C14" s="124">
        <f t="shared" si="38"/>
        <v>35.881071702458861</v>
      </c>
      <c r="D14" s="124">
        <f t="shared" si="39"/>
        <v>143.886453685248</v>
      </c>
      <c r="E14" s="29">
        <f t="shared" si="40"/>
        <v>1.4015529699937708</v>
      </c>
      <c r="F14" s="29">
        <f t="shared" si="41"/>
        <v>1.2092273126542696</v>
      </c>
      <c r="G14" s="29">
        <f t="shared" si="42"/>
        <v>1.2071147457816029</v>
      </c>
      <c r="H14" s="29">
        <f t="shared" si="43"/>
        <v>1.2087127478403743</v>
      </c>
      <c r="I14" s="29">
        <f t="shared" si="44"/>
        <v>1.2198152702587493</v>
      </c>
      <c r="J14" s="29">
        <f t="shared" si="45"/>
        <v>1.2087127478403743</v>
      </c>
      <c r="K14" s="29">
        <f t="shared" si="46"/>
        <v>1.1929603322075217</v>
      </c>
      <c r="L14" s="125">
        <f t="shared" si="0"/>
        <v>1.2354423037966662</v>
      </c>
      <c r="M14" s="126">
        <f t="shared" si="1"/>
        <v>7.3666240728793964E-2</v>
      </c>
      <c r="N14" s="126">
        <f t="shared" si="47"/>
        <v>5.9627422909518755</v>
      </c>
      <c r="P14" s="138">
        <f t="shared" si="48"/>
        <v>259.44288379729988</v>
      </c>
      <c r="Q14" s="138">
        <f t="shared" si="49"/>
        <v>338.214</v>
      </c>
      <c r="R14" s="138">
        <f t="shared" si="50"/>
        <v>259.44288379729988</v>
      </c>
      <c r="S14" s="138">
        <f t="shared" si="51"/>
        <v>260.21535521065692</v>
      </c>
      <c r="T14" s="138">
        <f t="shared" si="52"/>
        <v>246.94833220685186</v>
      </c>
      <c r="U14" s="138">
        <f t="shared" si="53"/>
        <v>259.44288379729988</v>
      </c>
      <c r="V14" s="138">
        <f t="shared" si="54"/>
        <v>302.53814169019029</v>
      </c>
      <c r="W14" s="138">
        <f t="shared" si="55"/>
        <v>275.17778292851409</v>
      </c>
      <c r="X14" s="138">
        <f t="shared" si="56"/>
        <v>32.877781701118607</v>
      </c>
      <c r="Y14" s="138">
        <f t="shared" si="57"/>
        <v>11.947832906866477</v>
      </c>
      <c r="AA14" s="227">
        <f t="shared" si="58"/>
        <v>0.39278135000000003</v>
      </c>
      <c r="AB14" s="227">
        <f t="shared" si="59"/>
        <v>0.38596153846153847</v>
      </c>
      <c r="AC14" s="227">
        <f t="shared" si="60"/>
        <v>0.42821123588419457</v>
      </c>
      <c r="AD14" s="227">
        <f t="shared" si="61"/>
        <v>0.39278135000000003</v>
      </c>
      <c r="AE14" s="227">
        <f t="shared" si="62"/>
        <v>0.39993386858643332</v>
      </c>
      <c r="AF14" s="227">
        <f t="shared" si="63"/>
        <v>1.9123742265136367E-2</v>
      </c>
      <c r="AG14" s="227">
        <f t="shared" si="64"/>
        <v>4.7817261220534419</v>
      </c>
      <c r="AI14" s="228">
        <f t="shared" si="65"/>
        <v>2.4994238301929625</v>
      </c>
      <c r="AJ14" s="228">
        <f t="shared" si="66"/>
        <v>2.4994238301929625</v>
      </c>
      <c r="AK14" s="228">
        <f t="shared" si="67"/>
        <v>2.4994238301929625</v>
      </c>
      <c r="AL14" s="228">
        <f t="shared" si="68"/>
        <v>3.2180815539648955</v>
      </c>
      <c r="AM14" s="228">
        <f t="shared" si="69"/>
        <v>2.3980399999999999</v>
      </c>
      <c r="AN14" s="228">
        <f t="shared" si="70"/>
        <v>2.6695517346629392</v>
      </c>
      <c r="AO14" s="228">
        <f t="shared" si="71"/>
        <v>2.6662986114142759</v>
      </c>
      <c r="AP14" s="228">
        <f t="shared" si="72"/>
        <v>2.6357490558029997</v>
      </c>
      <c r="AQ14" s="228">
        <f t="shared" si="73"/>
        <v>0.27490796383676763</v>
      </c>
      <c r="AR14" s="228">
        <f t="shared" si="74"/>
        <v>10.429974857868817</v>
      </c>
      <c r="AT14" s="229">
        <f t="shared" si="75"/>
        <v>1.3190537084398974</v>
      </c>
      <c r="AU14" s="229">
        <f t="shared" si="76"/>
        <v>1.3269062278876693</v>
      </c>
      <c r="AV14" s="229">
        <f t="shared" si="77"/>
        <v>1.2395428525918781</v>
      </c>
      <c r="AW14" s="229">
        <f t="shared" si="78"/>
        <v>1.3190537084398974</v>
      </c>
      <c r="AX14" s="229">
        <f t="shared" si="79"/>
        <v>0.43123429752955367</v>
      </c>
      <c r="AY14" s="229">
        <f t="shared" si="80"/>
        <v>1.2522501561332828</v>
      </c>
      <c r="AZ14" s="229">
        <f t="shared" si="81"/>
        <v>1.2969055353963692</v>
      </c>
      <c r="BA14" s="229">
        <f t="shared" si="82"/>
        <v>1.3116281560074297</v>
      </c>
      <c r="BB14" s="229">
        <f t="shared" si="83"/>
        <v>1.1870718303032473</v>
      </c>
      <c r="BC14" s="229">
        <f t="shared" si="84"/>
        <v>0.30712063948776275</v>
      </c>
      <c r="BD14" s="229">
        <f t="shared" si="85"/>
        <v>25.87211924735054</v>
      </c>
      <c r="BF14" s="230">
        <f t="shared" si="86"/>
        <v>11.36446672788767</v>
      </c>
      <c r="BG14" s="230">
        <f t="shared" si="87"/>
        <v>2.7256399999999998</v>
      </c>
      <c r="BH14" s="230">
        <f t="shared" si="88"/>
        <v>2.8443372336202786</v>
      </c>
      <c r="BI14" s="230">
        <f t="shared" si="2"/>
        <v>5.6448146538359829</v>
      </c>
      <c r="BJ14" s="230">
        <f t="shared" si="3"/>
        <v>4.9537195262216942</v>
      </c>
      <c r="BK14" s="230">
        <f t="shared" si="89"/>
        <v>87.756991681832304</v>
      </c>
      <c r="BM14" s="227">
        <f t="shared" si="90"/>
        <v>14.928477737952507</v>
      </c>
      <c r="BN14" s="227">
        <f t="shared" si="91"/>
        <v>10.919390969757554</v>
      </c>
      <c r="BO14" s="227">
        <f t="shared" si="92"/>
        <v>12.930228631275082</v>
      </c>
      <c r="BP14" s="227">
        <f t="shared" si="93"/>
        <v>10.919390969757554</v>
      </c>
      <c r="BQ14" s="227">
        <f t="shared" si="94"/>
        <v>7.2551634615384542</v>
      </c>
      <c r="BR14" s="227">
        <f t="shared" si="95"/>
        <v>10.364063673152669</v>
      </c>
      <c r="BS14" s="227">
        <f t="shared" si="96"/>
        <v>10.004968779954348</v>
      </c>
      <c r="BT14" s="227">
        <f t="shared" si="4"/>
        <v>11.045954889055453</v>
      </c>
      <c r="BU14" s="227">
        <f t="shared" si="5"/>
        <v>2.4005289492028261</v>
      </c>
      <c r="BV14" s="227">
        <f t="shared" si="97"/>
        <v>21.732199464089039</v>
      </c>
      <c r="BX14" s="231">
        <f t="shared" si="98"/>
        <v>0.17732030572973104</v>
      </c>
      <c r="BY14" s="231">
        <f t="shared" si="99"/>
        <v>0.16790698328318429</v>
      </c>
      <c r="BZ14" s="231">
        <f t="shared" si="100"/>
        <v>0.18974906732383712</v>
      </c>
      <c r="CA14" s="231">
        <f t="shared" si="101"/>
        <v>0.1564295238095238</v>
      </c>
      <c r="CB14" s="231">
        <f t="shared" si="102"/>
        <v>0.1748540101509371</v>
      </c>
      <c r="CC14" s="231">
        <f t="shared" si="103"/>
        <v>0.18190913963772545</v>
      </c>
      <c r="CD14" s="231">
        <f t="shared" si="104"/>
        <v>0.26578125797318281</v>
      </c>
      <c r="CE14" s="231">
        <f t="shared" si="105"/>
        <v>0.31899976854810108</v>
      </c>
      <c r="CF14" s="231">
        <f t="shared" si="106"/>
        <v>0.20411875705702787</v>
      </c>
      <c r="CG14" s="231">
        <f t="shared" si="107"/>
        <v>5.7146183277111663E-2</v>
      </c>
      <c r="CH14" s="231">
        <f t="shared" si="6"/>
        <v>27.996536967519276</v>
      </c>
      <c r="CJ14" s="232">
        <f t="shared" si="108"/>
        <v>0.81809940937167769</v>
      </c>
      <c r="CK14" s="232">
        <f t="shared" si="109"/>
        <v>0.81809940937167769</v>
      </c>
      <c r="CL14" s="232">
        <f t="shared" si="110"/>
        <v>1.45629584766478</v>
      </c>
      <c r="CM14" s="232">
        <f t="shared" si="111"/>
        <v>0.99174864005279439</v>
      </c>
      <c r="CN14" s="232">
        <f t="shared" si="112"/>
        <v>0.8810824028346711</v>
      </c>
      <c r="CO14" s="232">
        <f t="shared" si="113"/>
        <v>0.81809940937167769</v>
      </c>
      <c r="CP14" s="232">
        <f t="shared" si="114"/>
        <v>0.81809940937167769</v>
      </c>
      <c r="CQ14" s="232">
        <f t="shared" si="115"/>
        <v>0.91647407755719612</v>
      </c>
      <c r="CR14" s="232">
        <f t="shared" si="116"/>
        <v>1.7976416922931888</v>
      </c>
      <c r="CS14" s="232">
        <f t="shared" si="117"/>
        <v>0.84966666666666579</v>
      </c>
      <c r="CT14" s="232">
        <f t="shared" si="118"/>
        <v>0.94195554596724762</v>
      </c>
      <c r="CU14" s="232">
        <f t="shared" si="119"/>
        <v>1.0097511373202961</v>
      </c>
      <c r="CV14" s="232">
        <f t="shared" si="120"/>
        <v>0.3198279017262729</v>
      </c>
      <c r="CW14" s="232">
        <f t="shared" si="7"/>
        <v>31.673933299549482</v>
      </c>
      <c r="CY14" s="229">
        <f t="shared" si="8"/>
        <v>0.56000330631816164</v>
      </c>
      <c r="CZ14" s="229">
        <f t="shared" si="9"/>
        <v>0.26406931482672941</v>
      </c>
      <c r="DA14" s="229">
        <f t="shared" si="10"/>
        <v>0.37743347412717654</v>
      </c>
      <c r="DB14" s="229">
        <f t="shared" si="11"/>
        <v>0.60880889921921166</v>
      </c>
      <c r="DC14" s="229">
        <f t="shared" si="12"/>
        <v>0.47276761904761888</v>
      </c>
      <c r="DD14" s="229">
        <f t="shared" si="13"/>
        <v>0.25116750191721204</v>
      </c>
      <c r="DE14" s="229">
        <f t="shared" si="14"/>
        <v>0.55081788972780232</v>
      </c>
      <c r="DF14" s="229">
        <f t="shared" si="15"/>
        <v>0.44072400074055895</v>
      </c>
      <c r="DG14" s="229">
        <f t="shared" si="16"/>
        <v>0.1453569048713525</v>
      </c>
      <c r="DH14" s="229">
        <f t="shared" si="17"/>
        <v>32.981390763177373</v>
      </c>
      <c r="DJ14" s="234">
        <f t="shared" si="121"/>
        <v>5.3103986119639117E-2</v>
      </c>
      <c r="DK14" s="234">
        <f t="shared" si="122"/>
        <v>7.1762143404917725E-2</v>
      </c>
      <c r="DL14" s="234">
        <f t="shared" si="123"/>
        <v>6.332230529378112E-2</v>
      </c>
      <c r="DM14" s="234">
        <f t="shared" si="18"/>
        <v>6.2729478272779318E-2</v>
      </c>
      <c r="DN14" s="234">
        <f t="shared" si="19"/>
        <v>9.3431949154542584E-3</v>
      </c>
      <c r="DO14" s="234">
        <f t="shared" si="20"/>
        <v>14.894424715004559</v>
      </c>
      <c r="DQ14" s="229">
        <f t="shared" si="124"/>
        <v>1.9466922592768057</v>
      </c>
      <c r="DR14" s="229">
        <f t="shared" si="125"/>
        <v>0.91835216437601508</v>
      </c>
      <c r="DS14" s="229">
        <f t="shared" si="126"/>
        <v>1.8531634556949994</v>
      </c>
      <c r="DT14" s="229">
        <f t="shared" si="127"/>
        <v>1.7211321431124273</v>
      </c>
      <c r="DU14" s="229">
        <f t="shared" si="128"/>
        <v>0.91835216437601508</v>
      </c>
      <c r="DV14" s="229">
        <f t="shared" si="129"/>
        <v>1.5667820000000001</v>
      </c>
      <c r="DW14" s="229">
        <f t="shared" si="130"/>
        <v>0.25794800000000007</v>
      </c>
      <c r="DX14" s="229">
        <f t="shared" si="131"/>
        <v>0.98646692102636591</v>
      </c>
      <c r="DY14" s="229">
        <f t="shared" si="21"/>
        <v>1.2711111384828286</v>
      </c>
      <c r="DZ14" s="229">
        <f t="shared" si="22"/>
        <v>0.59058500985294282</v>
      </c>
      <c r="EA14" s="229">
        <f t="shared" si="23"/>
        <v>46.462106417999969</v>
      </c>
      <c r="EC14" s="235">
        <f t="shared" si="132"/>
        <v>0.10477783993437201</v>
      </c>
      <c r="ED14" s="235">
        <f t="shared" si="133"/>
        <v>8.1058064516129E-2</v>
      </c>
      <c r="EE14" s="235">
        <f t="shared" si="134"/>
        <v>7.8938357745409499E-2</v>
      </c>
      <c r="EF14" s="235">
        <f>(9.36 *D14/100 * SQRT(C14) + 7.98) / 1054</f>
        <v>8.4111050320512054E-2</v>
      </c>
      <c r="EG14" s="235">
        <f t="shared" si="136"/>
        <v>8.722132812910563E-2</v>
      </c>
      <c r="EH14" s="235">
        <f t="shared" si="137"/>
        <v>1.1895354156915238E-2</v>
      </c>
      <c r="EI14" s="235">
        <f t="shared" si="24"/>
        <v>13.638125458612199</v>
      </c>
      <c r="EK14" s="236">
        <f t="shared" si="138"/>
        <v>7.0986462882096069</v>
      </c>
      <c r="EL14" s="236">
        <f t="shared" si="139"/>
        <v>10.192216618056653</v>
      </c>
      <c r="EM14" s="236">
        <f t="shared" si="140"/>
        <v>10.192216618056653</v>
      </c>
      <c r="EN14" s="236">
        <f t="shared" si="141"/>
        <v>9.215647700634749</v>
      </c>
      <c r="EO14" s="236">
        <f t="shared" si="142"/>
        <v>9.2377783663692696</v>
      </c>
      <c r="EP14" s="236">
        <f t="shared" si="143"/>
        <v>10.192216618056653</v>
      </c>
      <c r="EQ14" s="236">
        <f t="shared" si="144"/>
        <v>7.7010228717428575</v>
      </c>
      <c r="ER14" s="236">
        <f t="shared" si="145"/>
        <v>9.1185350115894916</v>
      </c>
      <c r="ES14" s="236">
        <f t="shared" si="146"/>
        <v>1.2630200281917092</v>
      </c>
      <c r="ET14" s="236">
        <f t="shared" si="25"/>
        <v>13.851128789728106</v>
      </c>
      <c r="EV14" s="238">
        <f t="shared" si="147"/>
        <v>7.1762144319228467E-3</v>
      </c>
      <c r="EW14" s="238">
        <f t="shared" si="148"/>
        <v>7.1762144319228467E-3</v>
      </c>
      <c r="EX14" s="238" t="e">
        <f t="shared" si="149"/>
        <v>#DIV/0!</v>
      </c>
      <c r="EY14" s="238" t="e">
        <f t="shared" si="26"/>
        <v>#DIV/0!</v>
      </c>
      <c r="FA14" s="240">
        <f t="shared" si="150"/>
        <v>0.22246264455524492</v>
      </c>
      <c r="FB14" s="240">
        <f t="shared" si="151"/>
        <v>2.4723295092726984E-5</v>
      </c>
      <c r="FC14" s="240">
        <f t="shared" si="152"/>
        <v>0.11124368392516883</v>
      </c>
      <c r="FD14" s="240">
        <f t="shared" si="153"/>
        <v>0.15728736251609293</v>
      </c>
      <c r="FE14" s="240">
        <f t="shared" si="27"/>
        <v>141.38992612101615</v>
      </c>
      <c r="FG14" s="236">
        <f t="shared" si="154"/>
        <v>0.66864084652667466</v>
      </c>
      <c r="FH14" s="236">
        <f t="shared" si="155"/>
        <v>0.71349899139826356</v>
      </c>
      <c r="FI14" s="236">
        <f t="shared" si="156"/>
        <v>0.59203768309057125</v>
      </c>
      <c r="FJ14" s="236">
        <f t="shared" si="157"/>
        <v>0.31704711538461516</v>
      </c>
      <c r="FK14" s="236">
        <f t="shared" si="158"/>
        <v>0.6573053525173439</v>
      </c>
      <c r="FL14" s="236">
        <f t="shared" si="159"/>
        <v>0.31793749999999976</v>
      </c>
      <c r="FM14" s="236">
        <f t="shared" si="160"/>
        <v>0.54441124815291142</v>
      </c>
      <c r="FN14" s="236">
        <f t="shared" si="161"/>
        <v>0.18001212270563277</v>
      </c>
      <c r="FO14" s="236">
        <f t="shared" si="28"/>
        <v>33.065467202667328</v>
      </c>
      <c r="FQ14" s="227">
        <f t="shared" si="162"/>
        <v>0.19402567892911132</v>
      </c>
      <c r="FR14" s="227">
        <f t="shared" si="163"/>
        <v>0.19192856559958144</v>
      </c>
      <c r="FS14" s="227">
        <f t="shared" si="164"/>
        <v>0.19192856559958144</v>
      </c>
      <c r="FT14" s="227">
        <f t="shared" si="165"/>
        <v>0.14940776699029146</v>
      </c>
      <c r="FU14" s="227">
        <f t="shared" si="166"/>
        <v>0.14951642578414606</v>
      </c>
      <c r="FV14" s="227">
        <f t="shared" si="29"/>
        <v>0.17536140058054234</v>
      </c>
      <c r="FW14" s="227">
        <f t="shared" si="30"/>
        <v>2.3658249188033505E-2</v>
      </c>
      <c r="FX14" s="227">
        <f t="shared" si="31"/>
        <v>13.491138363238282</v>
      </c>
      <c r="FZ14" s="230">
        <f t="shared" si="167"/>
        <v>0.75350250575163613</v>
      </c>
      <c r="GA14" s="230">
        <f t="shared" si="168"/>
        <v>1.2062580000000003</v>
      </c>
      <c r="GB14" s="230">
        <f t="shared" si="169"/>
        <v>1.3273191978889733</v>
      </c>
      <c r="GC14" s="230">
        <f t="shared" si="170"/>
        <v>1.09569323454687</v>
      </c>
      <c r="GD14" s="230">
        <f t="shared" si="171"/>
        <v>0.3024645839823869</v>
      </c>
      <c r="GE14" s="230">
        <f t="shared" si="32"/>
        <v>27.604860050767112</v>
      </c>
      <c r="GG14" s="231">
        <f t="shared" si="172"/>
        <v>5.0233500383442403E-2</v>
      </c>
      <c r="GH14" s="231">
        <f t="shared" si="173"/>
        <v>2.934328798657912E-2</v>
      </c>
      <c r="GI14" s="231">
        <f t="shared" si="174"/>
        <v>1.2405238095238094E-2</v>
      </c>
      <c r="GJ14" s="231">
        <f t="shared" si="175"/>
        <v>1.1085636507833178E-2</v>
      </c>
      <c r="GK14" s="245">
        <f t="shared" si="186"/>
        <v>1.7611387529883463E-2</v>
      </c>
      <c r="GL14" s="231">
        <f t="shared" si="187"/>
        <v>1.018152509851703E-2</v>
      </c>
      <c r="GM14" s="231">
        <f t="shared" si="33"/>
        <v>57.81216886654019</v>
      </c>
      <c r="GO14" s="246">
        <f t="shared" si="176"/>
        <v>8.4951923076923161E-2</v>
      </c>
      <c r="GP14" s="246">
        <f t="shared" si="177"/>
        <v>8.2526464915655379E-2</v>
      </c>
      <c r="GQ14" s="247">
        <f t="shared" si="188"/>
        <v>8.3739193996289263E-2</v>
      </c>
      <c r="GR14" s="246">
        <f t="shared" si="189"/>
        <v>1.7150579133167036E-3</v>
      </c>
      <c r="GS14" s="246">
        <f t="shared" si="34"/>
        <v>2.0480946035767946</v>
      </c>
      <c r="GU14" s="249">
        <f t="shared" si="178"/>
        <v>1.0165107613306596E-2</v>
      </c>
      <c r="GV14" s="249">
        <f t="shared" si="179"/>
        <v>1.0165107613306596E-2</v>
      </c>
      <c r="GW14" s="249" t="e">
        <f t="shared" si="180"/>
        <v>#DIV/0!</v>
      </c>
      <c r="GX14" s="249" t="e">
        <f t="shared" si="35"/>
        <v>#DIV/0!</v>
      </c>
      <c r="GZ14" s="240">
        <f t="shared" si="181"/>
        <v>1.0764321510737659E-2</v>
      </c>
      <c r="HA14" s="240">
        <f t="shared" si="182"/>
        <v>1.0764321510737659E-2</v>
      </c>
      <c r="HB14" s="240" t="e">
        <f t="shared" si="183"/>
        <v>#DIV/0!</v>
      </c>
      <c r="HC14" s="240" t="e">
        <f t="shared" si="36"/>
        <v>#DIV/0!</v>
      </c>
      <c r="HE14" s="234">
        <f t="shared" si="184"/>
        <v>4.2268275325926044E-2</v>
      </c>
      <c r="HF14" s="234">
        <f t="shared" si="185"/>
        <v>4.2268275325926044E-2</v>
      </c>
      <c r="HG14" s="251">
        <f t="shared" si="190"/>
        <v>4.2268275325926044E-2</v>
      </c>
      <c r="HH14" s="234">
        <f t="shared" si="191"/>
        <v>0</v>
      </c>
      <c r="HI14" s="234">
        <f t="shared" si="37"/>
        <v>0</v>
      </c>
    </row>
    <row r="15" spans="1:217" ht="15.6" x14ac:dyDescent="0.25">
      <c r="B15">
        <v>11</v>
      </c>
      <c r="C15" s="124">
        <f t="shared" si="38"/>
        <v>40.824865932741318</v>
      </c>
      <c r="D15" s="124">
        <f t="shared" si="39"/>
        <v>149.33064326065067</v>
      </c>
      <c r="E15" s="29">
        <f t="shared" si="40"/>
        <v>1.5084868955486588</v>
      </c>
      <c r="F15" s="29">
        <f t="shared" si="41"/>
        <v>1.3127588909468573</v>
      </c>
      <c r="G15" s="29">
        <f t="shared" si="42"/>
        <v>1.3099880327774027</v>
      </c>
      <c r="H15" s="29">
        <f t="shared" si="43"/>
        <v>1.3122002701421991</v>
      </c>
      <c r="I15" s="29">
        <f t="shared" si="44"/>
        <v>1.3250099051891733</v>
      </c>
      <c r="J15" s="29">
        <f t="shared" si="45"/>
        <v>1.3122002701421989</v>
      </c>
      <c r="K15" s="29">
        <f t="shared" si="46"/>
        <v>1.2976819791143448</v>
      </c>
      <c r="L15" s="125">
        <f t="shared" si="0"/>
        <v>1.3397608919801189</v>
      </c>
      <c r="M15" s="126">
        <f t="shared" si="1"/>
        <v>7.4823567762853163E-2</v>
      </c>
      <c r="N15" s="126">
        <f t="shared" si="47"/>
        <v>5.5848448936486408</v>
      </c>
      <c r="P15" s="138">
        <f t="shared" si="48"/>
        <v>281.34978731582498</v>
      </c>
      <c r="Q15" s="138">
        <f t="shared" si="49"/>
        <v>357.00759999999997</v>
      </c>
      <c r="R15" s="138">
        <f t="shared" si="50"/>
        <v>281.34978731582498</v>
      </c>
      <c r="S15" s="138">
        <f t="shared" si="51"/>
        <v>284.13151565167004</v>
      </c>
      <c r="T15" s="138">
        <f t="shared" si="52"/>
        <v>273.15961259413137</v>
      </c>
      <c r="U15" s="138">
        <f t="shared" si="53"/>
        <v>281.34978731582498</v>
      </c>
      <c r="V15" s="138">
        <f t="shared" si="54"/>
        <v>317.53689113421802</v>
      </c>
      <c r="W15" s="138">
        <f t="shared" si="55"/>
        <v>296.55499733249917</v>
      </c>
      <c r="X15" s="138">
        <f t="shared" si="56"/>
        <v>30.249074905592813</v>
      </c>
      <c r="Y15" s="138">
        <f t="shared" si="57"/>
        <v>10.200156860508871</v>
      </c>
      <c r="AA15" s="227">
        <f t="shared" si="58"/>
        <v>0.39768780565</v>
      </c>
      <c r="AB15" s="227">
        <f t="shared" si="59"/>
        <v>0.38760416666666664</v>
      </c>
      <c r="AC15" s="227">
        <f t="shared" si="60"/>
        <v>0.43303252111076296</v>
      </c>
      <c r="AD15" s="227">
        <f t="shared" si="61"/>
        <v>0.39768780565</v>
      </c>
      <c r="AE15" s="227">
        <f t="shared" si="62"/>
        <v>0.40400307476935737</v>
      </c>
      <c r="AF15" s="227">
        <f t="shared" si="63"/>
        <v>1.9928189330266639E-2</v>
      </c>
      <c r="AG15" s="227">
        <f t="shared" si="64"/>
        <v>4.9326825895182873</v>
      </c>
      <c r="AI15" s="228">
        <f t="shared" si="65"/>
        <v>2.7566039845890362</v>
      </c>
      <c r="AJ15" s="228">
        <f t="shared" si="66"/>
        <v>2.7566039845890362</v>
      </c>
      <c r="AK15" s="228">
        <f t="shared" si="67"/>
        <v>2.7566039845890362</v>
      </c>
      <c r="AL15" s="228">
        <f t="shared" si="68"/>
        <v>3.6614071842786311</v>
      </c>
      <c r="AM15" s="228">
        <f t="shared" si="69"/>
        <v>2.5318731999999993</v>
      </c>
      <c r="AN15" s="228">
        <f t="shared" si="70"/>
        <v>2.9494659240695755</v>
      </c>
      <c r="AO15" s="228">
        <f t="shared" si="71"/>
        <v>2.9280792194972793</v>
      </c>
      <c r="AP15" s="228">
        <f t="shared" si="72"/>
        <v>2.9058053545160853</v>
      </c>
      <c r="AQ15" s="228">
        <f t="shared" si="73"/>
        <v>0.3605423918858901</v>
      </c>
      <c r="AR15" s="228">
        <f t="shared" si="74"/>
        <v>12.407658046522272</v>
      </c>
      <c r="AT15" s="229">
        <f t="shared" si="75"/>
        <v>1.329299812030075</v>
      </c>
      <c r="AU15" s="229">
        <f t="shared" si="76"/>
        <v>1.3221907644309132</v>
      </c>
      <c r="AV15" s="229">
        <f t="shared" si="77"/>
        <v>1.2641619500118357</v>
      </c>
      <c r="AW15" s="229">
        <f t="shared" si="78"/>
        <v>1.329299812030075</v>
      </c>
      <c r="AX15" s="229">
        <f t="shared" si="79"/>
        <v>0.41517282503042985</v>
      </c>
      <c r="AY15" s="229">
        <f t="shared" si="80"/>
        <v>1.2588730025231287</v>
      </c>
      <c r="AZ15" s="229">
        <f t="shared" si="81"/>
        <v>1.2982552436757251</v>
      </c>
      <c r="BA15" s="229">
        <f t="shared" si="82"/>
        <v>1.3095530438127232</v>
      </c>
      <c r="BB15" s="229">
        <f t="shared" si="83"/>
        <v>1.1908508066931134</v>
      </c>
      <c r="BC15" s="229">
        <f t="shared" si="84"/>
        <v>0.31461773788280051</v>
      </c>
      <c r="BD15" s="229">
        <f t="shared" si="85"/>
        <v>26.419576332694938</v>
      </c>
      <c r="BF15" s="230">
        <f t="shared" si="86"/>
        <v>12.324011264430913</v>
      </c>
      <c r="BG15" s="230">
        <f t="shared" si="87"/>
        <v>3.0271901789999998</v>
      </c>
      <c r="BH15" s="230">
        <f t="shared" si="88"/>
        <v>3.535138576908067</v>
      </c>
      <c r="BI15" s="230">
        <f t="shared" si="2"/>
        <v>6.2954466734463272</v>
      </c>
      <c r="BJ15" s="230">
        <f t="shared" si="3"/>
        <v>5.2270638186738454</v>
      </c>
      <c r="BK15" s="230">
        <f t="shared" si="89"/>
        <v>83.02927639306624</v>
      </c>
      <c r="BM15" s="227">
        <f t="shared" si="90"/>
        <v>16.742210332508144</v>
      </c>
      <c r="BN15" s="227">
        <f t="shared" si="91"/>
        <v>12.332547304518297</v>
      </c>
      <c r="BO15" s="227">
        <f t="shared" si="92"/>
        <v>14.768346885162888</v>
      </c>
      <c r="BP15" s="227">
        <f t="shared" si="93"/>
        <v>12.332547304518297</v>
      </c>
      <c r="BQ15" s="227">
        <f t="shared" si="94"/>
        <v>8.8582629807692328</v>
      </c>
      <c r="BR15" s="227">
        <f t="shared" si="95"/>
        <v>11.825566372319676</v>
      </c>
      <c r="BS15" s="227">
        <f t="shared" si="96"/>
        <v>12.189670886146832</v>
      </c>
      <c r="BT15" s="227">
        <f t="shared" si="4"/>
        <v>12.721307437991909</v>
      </c>
      <c r="BU15" s="227">
        <f t="shared" si="5"/>
        <v>2.4721246404199291</v>
      </c>
      <c r="BV15" s="227">
        <f t="shared" si="97"/>
        <v>19.432944706901605</v>
      </c>
      <c r="BX15" s="231">
        <f t="shared" si="98"/>
        <v>0.19627271359033263</v>
      </c>
      <c r="BY15" s="231">
        <f t="shared" si="99"/>
        <v>0.18487141672282112</v>
      </c>
      <c r="BZ15" s="231">
        <f t="shared" si="100"/>
        <v>0.20754616672156331</v>
      </c>
      <c r="CA15" s="231">
        <f t="shared" si="101"/>
        <v>0.17188116438095255</v>
      </c>
      <c r="CB15" s="231">
        <f t="shared" si="102"/>
        <v>0.19673472727438704</v>
      </c>
      <c r="CC15" s="231">
        <f t="shared" si="103"/>
        <v>0.19978443196955986</v>
      </c>
      <c r="CD15" s="231">
        <f t="shared" si="104"/>
        <v>0.29295756783026911</v>
      </c>
      <c r="CE15" s="231">
        <f t="shared" si="105"/>
        <v>0.34523319201627944</v>
      </c>
      <c r="CF15" s="231">
        <f t="shared" si="106"/>
        <v>0.22441017256327064</v>
      </c>
      <c r="CG15" s="231">
        <f t="shared" si="107"/>
        <v>6.1024615646791715E-2</v>
      </c>
      <c r="CH15" s="231">
        <f t="shared" si="6"/>
        <v>27.19333751663433</v>
      </c>
      <c r="CJ15" s="232">
        <f t="shared" si="108"/>
        <v>0.90475789344157875</v>
      </c>
      <c r="CK15" s="232">
        <f t="shared" si="109"/>
        <v>0.90475789344157875</v>
      </c>
      <c r="CL15" s="232">
        <f t="shared" si="110"/>
        <v>1.5429684358012734</v>
      </c>
      <c r="CM15" s="232">
        <f t="shared" si="111"/>
        <v>1.108045680191595</v>
      </c>
      <c r="CN15" s="232">
        <f t="shared" si="112"/>
        <v>1.0033740394982951</v>
      </c>
      <c r="CO15" s="232">
        <f t="shared" si="113"/>
        <v>0.90475789344157875</v>
      </c>
      <c r="CP15" s="232">
        <f t="shared" si="114"/>
        <v>0.90475789344157875</v>
      </c>
      <c r="CQ15" s="232">
        <f t="shared" si="115"/>
        <v>1.0161636141439425</v>
      </c>
      <c r="CR15" s="232">
        <f t="shared" si="116"/>
        <v>2.0453257832303398</v>
      </c>
      <c r="CS15" s="232">
        <f t="shared" si="117"/>
        <v>0.94007000000000029</v>
      </c>
      <c r="CT15" s="232">
        <f t="shared" si="118"/>
        <v>1.0075220533994149</v>
      </c>
      <c r="CU15" s="232">
        <f t="shared" si="119"/>
        <v>1.1165910163664705</v>
      </c>
      <c r="CV15" s="232">
        <f t="shared" si="120"/>
        <v>0.3591478158778712</v>
      </c>
      <c r="CW15" s="232">
        <f t="shared" si="7"/>
        <v>32.164670019160994</v>
      </c>
      <c r="CY15" s="229">
        <f t="shared" si="8"/>
        <v>0.6158061486043318</v>
      </c>
      <c r="CZ15" s="229">
        <f t="shared" si="9"/>
        <v>0.3084720231334096</v>
      </c>
      <c r="DA15" s="229">
        <f t="shared" si="10"/>
        <v>0.40605870030388147</v>
      </c>
      <c r="DB15" s="229">
        <f t="shared" si="11"/>
        <v>0.68350903598059187</v>
      </c>
      <c r="DC15" s="229">
        <f t="shared" si="12"/>
        <v>0.51273780952380965</v>
      </c>
      <c r="DD15" s="229">
        <f t="shared" si="13"/>
        <v>0.28577406152918922</v>
      </c>
      <c r="DE15" s="229">
        <f t="shared" si="14"/>
        <v>0.60946925223839632</v>
      </c>
      <c r="DF15" s="229">
        <f t="shared" si="15"/>
        <v>0.4888324330448014</v>
      </c>
      <c r="DG15" s="229">
        <f t="shared" si="16"/>
        <v>0.15798738550973318</v>
      </c>
      <c r="DH15" s="229">
        <f t="shared" si="17"/>
        <v>32.319333749128241</v>
      </c>
      <c r="DJ15" s="234">
        <f t="shared" si="121"/>
        <v>6.0420801580457151E-2</v>
      </c>
      <c r="DK15" s="234">
        <f t="shared" si="122"/>
        <v>8.1649731865482633E-2</v>
      </c>
      <c r="DL15" s="234">
        <f t="shared" si="123"/>
        <v>7.0313637963518597E-2</v>
      </c>
      <c r="DM15" s="234">
        <f t="shared" si="18"/>
        <v>7.0794723803152784E-2</v>
      </c>
      <c r="DN15" s="234">
        <f t="shared" si="19"/>
        <v>1.0622638699986054E-2</v>
      </c>
      <c r="DO15" s="234">
        <f t="shared" si="20"/>
        <v>15.00484517677147</v>
      </c>
      <c r="DQ15" s="229">
        <f t="shared" si="124"/>
        <v>2.1403667404703604</v>
      </c>
      <c r="DR15" s="229">
        <f t="shared" si="125"/>
        <v>1.1530876275627748</v>
      </c>
      <c r="DS15" s="229">
        <f t="shared" si="126"/>
        <v>2.0096413379701783</v>
      </c>
      <c r="DT15" s="229">
        <f t="shared" si="127"/>
        <v>1.8182077993100547</v>
      </c>
      <c r="DU15" s="229">
        <f t="shared" si="128"/>
        <v>1.1530876275627748</v>
      </c>
      <c r="DV15" s="229">
        <f t="shared" si="129"/>
        <v>1.6186134962199989</v>
      </c>
      <c r="DW15" s="229">
        <f t="shared" si="130"/>
        <v>0.29057870380000012</v>
      </c>
      <c r="DX15" s="229">
        <f t="shared" si="131"/>
        <v>1.17053042278998</v>
      </c>
      <c r="DY15" s="229">
        <f t="shared" si="21"/>
        <v>1.4192642194607652</v>
      </c>
      <c r="DZ15" s="229">
        <f t="shared" si="22"/>
        <v>0.60296050011953517</v>
      </c>
      <c r="EA15" s="229">
        <f t="shared" si="23"/>
        <v>42.484020371388198</v>
      </c>
      <c r="EC15" s="235">
        <f t="shared" si="132"/>
        <v>0.11809023160131843</v>
      </c>
      <c r="ED15" s="235">
        <f t="shared" si="133"/>
        <v>8.9228878519924074E-2</v>
      </c>
      <c r="EE15" s="235">
        <f t="shared" si="134"/>
        <v>8.9814705052030902E-2</v>
      </c>
      <c r="EF15" s="235">
        <f t="shared" si="135"/>
        <v>9.2302981864274644E-2</v>
      </c>
      <c r="EG15" s="235">
        <f t="shared" si="136"/>
        <v>9.7359199259387019E-2</v>
      </c>
      <c r="EH15" s="235">
        <f t="shared" si="137"/>
        <v>1.3884794374665197E-2</v>
      </c>
      <c r="EI15" s="235">
        <f t="shared" si="24"/>
        <v>14.261409790021947</v>
      </c>
      <c r="EK15" s="236">
        <f t="shared" si="138"/>
        <v>8.7255808951965044</v>
      </c>
      <c r="EL15" s="236">
        <f t="shared" si="139"/>
        <v>11.937549023301608</v>
      </c>
      <c r="EM15" s="236">
        <f t="shared" si="140"/>
        <v>11.937549023301608</v>
      </c>
      <c r="EN15" s="236">
        <f t="shared" si="141"/>
        <v>9.7934148265315883</v>
      </c>
      <c r="EO15" s="236">
        <f t="shared" si="142"/>
        <v>10.858267482925829</v>
      </c>
      <c r="EP15" s="236">
        <f t="shared" si="143"/>
        <v>11.937549023301608</v>
      </c>
      <c r="EQ15" s="236">
        <f t="shared" si="144"/>
        <v>9.1580771941036971</v>
      </c>
      <c r="ER15" s="236">
        <f t="shared" si="145"/>
        <v>10.621141066951779</v>
      </c>
      <c r="ES15" s="236">
        <f t="shared" si="146"/>
        <v>1.3948628158134539</v>
      </c>
      <c r="ET15" s="236">
        <f t="shared" si="25"/>
        <v>13.132890402460056</v>
      </c>
      <c r="EV15" s="238">
        <f t="shared" si="147"/>
        <v>8.1649732003482387E-3</v>
      </c>
      <c r="EW15" s="238">
        <f t="shared" si="148"/>
        <v>8.1649732003482387E-3</v>
      </c>
      <c r="EX15" s="238" t="e">
        <f t="shared" si="149"/>
        <v>#DIV/0!</v>
      </c>
      <c r="EY15" s="238" t="e">
        <f t="shared" si="26"/>
        <v>#DIV/0!</v>
      </c>
      <c r="FA15" s="240">
        <f t="shared" si="150"/>
        <v>0.25311416878299614</v>
      </c>
      <c r="FB15" s="240">
        <f t="shared" si="151"/>
        <v>1.9177944576700913E-4</v>
      </c>
      <c r="FC15" s="240">
        <f t="shared" si="152"/>
        <v>0.12665297411438156</v>
      </c>
      <c r="FD15" s="240">
        <f t="shared" si="153"/>
        <v>0.17884313661425891</v>
      </c>
      <c r="FE15" s="240">
        <f t="shared" si="27"/>
        <v>141.20721433098277</v>
      </c>
      <c r="FG15" s="236">
        <f t="shared" si="154"/>
        <v>0.73633532096480736</v>
      </c>
      <c r="FH15" s="236">
        <f t="shared" si="155"/>
        <v>0.80697055060341893</v>
      </c>
      <c r="FI15" s="236">
        <f t="shared" si="156"/>
        <v>0.67361028789023181</v>
      </c>
      <c r="FJ15" s="236">
        <f t="shared" si="157"/>
        <v>0.36814317307692296</v>
      </c>
      <c r="FK15" s="236">
        <f t="shared" si="158"/>
        <v>0.7363413686338226</v>
      </c>
      <c r="FL15" s="236">
        <f t="shared" si="159"/>
        <v>0.36824932980769215</v>
      </c>
      <c r="FM15" s="236">
        <f t="shared" si="160"/>
        <v>0.61494167182948256</v>
      </c>
      <c r="FN15" s="236">
        <f t="shared" si="161"/>
        <v>0.19573349832205442</v>
      </c>
      <c r="FO15" s="236">
        <f t="shared" si="28"/>
        <v>31.829603893933122</v>
      </c>
      <c r="FQ15" s="227">
        <f t="shared" si="162"/>
        <v>0.21006550392272946</v>
      </c>
      <c r="FR15" s="227">
        <f t="shared" si="163"/>
        <v>0.21242366358312972</v>
      </c>
      <c r="FS15" s="227">
        <f t="shared" si="164"/>
        <v>0.21242366358312972</v>
      </c>
      <c r="FT15" s="227">
        <f t="shared" si="165"/>
        <v>0.16586672883495152</v>
      </c>
      <c r="FU15" s="227">
        <f t="shared" si="166"/>
        <v>0.17011721634173305</v>
      </c>
      <c r="FV15" s="227">
        <f t="shared" si="29"/>
        <v>0.19417935525313471</v>
      </c>
      <c r="FW15" s="227">
        <f t="shared" si="30"/>
        <v>2.397222682668175E-2</v>
      </c>
      <c r="FX15" s="227">
        <f t="shared" si="31"/>
        <v>12.345404482073414</v>
      </c>
      <c r="FZ15" s="230">
        <f t="shared" si="167"/>
        <v>0.8573221845875677</v>
      </c>
      <c r="GA15" s="230">
        <f t="shared" si="168"/>
        <v>1.4426361364000002</v>
      </c>
      <c r="GB15" s="230">
        <f t="shared" si="169"/>
        <v>1.551770977903667</v>
      </c>
      <c r="GC15" s="230">
        <f t="shared" si="170"/>
        <v>1.2839097662970784</v>
      </c>
      <c r="GD15" s="230">
        <f t="shared" si="171"/>
        <v>0.37344387404144558</v>
      </c>
      <c r="GE15" s="230">
        <f t="shared" si="32"/>
        <v>29.08645793064526</v>
      </c>
      <c r="GG15" s="231">
        <f t="shared" si="172"/>
        <v>5.7154812305837847E-2</v>
      </c>
      <c r="GH15" s="231">
        <f t="shared" si="173"/>
        <v>3.2275886743039904E-2</v>
      </c>
      <c r="GI15" s="231">
        <f t="shared" si="174"/>
        <v>1.483847619047619E-2</v>
      </c>
      <c r="GJ15" s="231">
        <f t="shared" si="175"/>
        <v>1.4408973131497319E-2</v>
      </c>
      <c r="GK15" s="245">
        <f t="shared" si="186"/>
        <v>2.0507778688337804E-2</v>
      </c>
      <c r="GL15" s="231">
        <f t="shared" si="187"/>
        <v>1.0193742865590463E-2</v>
      </c>
      <c r="GM15" s="231">
        <f t="shared" si="33"/>
        <v>49.706713830432335</v>
      </c>
      <c r="GO15" s="246">
        <f t="shared" si="176"/>
        <v>9.3925769230769313E-2</v>
      </c>
      <c r="GP15" s="246">
        <f t="shared" si="177"/>
        <v>9.3897191645305036E-2</v>
      </c>
      <c r="GQ15" s="247">
        <f t="shared" si="188"/>
        <v>9.3911480438037181E-2</v>
      </c>
      <c r="GR15" s="246">
        <f t="shared" si="189"/>
        <v>2.0207404471727766E-5</v>
      </c>
      <c r="GS15" s="246">
        <f t="shared" si="34"/>
        <v>2.1517501776644462E-2</v>
      </c>
      <c r="GU15" s="249">
        <f t="shared" si="178"/>
        <v>1.1565684518745616E-2</v>
      </c>
      <c r="GV15" s="249">
        <f t="shared" si="179"/>
        <v>1.1565684518745616E-2</v>
      </c>
      <c r="GW15" s="249" t="e">
        <f t="shared" si="180"/>
        <v>#DIV/0!</v>
      </c>
      <c r="GX15" s="249" t="e">
        <f t="shared" si="35"/>
        <v>#DIV/0!</v>
      </c>
      <c r="GZ15" s="240">
        <f t="shared" si="181"/>
        <v>1.2247459779822396E-2</v>
      </c>
      <c r="HA15" s="240">
        <f t="shared" si="182"/>
        <v>1.2247459779822396E-2</v>
      </c>
      <c r="HB15" s="240" t="e">
        <f t="shared" si="183"/>
        <v>#DIV/0!</v>
      </c>
      <c r="HC15" s="240" t="e">
        <f t="shared" si="36"/>
        <v>#DIV/0!</v>
      </c>
      <c r="HE15" s="234">
        <f t="shared" si="184"/>
        <v>4.8151390459962161E-2</v>
      </c>
      <c r="HF15" s="234">
        <f t="shared" si="185"/>
        <v>4.8151390459962161E-2</v>
      </c>
      <c r="HG15" s="251">
        <f t="shared" si="190"/>
        <v>4.8151390459962161E-2</v>
      </c>
      <c r="HH15" s="234">
        <f t="shared" si="191"/>
        <v>0</v>
      </c>
      <c r="HI15" s="234">
        <f t="shared" si="37"/>
        <v>0</v>
      </c>
    </row>
    <row r="16" spans="1:217" ht="15.6" x14ac:dyDescent="0.25">
      <c r="B16">
        <v>12</v>
      </c>
      <c r="C16" s="124">
        <f t="shared" si="38"/>
        <v>45.818997950611347</v>
      </c>
      <c r="D16" s="124">
        <f t="shared" si="39"/>
        <v>154.28928379558209</v>
      </c>
      <c r="E16" s="29">
        <f t="shared" si="40"/>
        <v>1.610532288846366</v>
      </c>
      <c r="F16" s="29">
        <f t="shared" si="41"/>
        <v>1.4124856086091848</v>
      </c>
      <c r="G16" s="29">
        <f t="shared" si="42"/>
        <v>1.4088155169402854</v>
      </c>
      <c r="H16" s="29">
        <f t="shared" si="43"/>
        <v>1.4118845509033937</v>
      </c>
      <c r="I16" s="29">
        <f t="shared" si="44"/>
        <v>1.426397006105288</v>
      </c>
      <c r="J16" s="29">
        <f t="shared" si="45"/>
        <v>1.4118845509033937</v>
      </c>
      <c r="K16" s="29">
        <f t="shared" si="46"/>
        <v>1.3987719312003359</v>
      </c>
      <c r="L16" s="125">
        <f t="shared" si="0"/>
        <v>1.4401102076440355</v>
      </c>
      <c r="M16" s="126">
        <f t="shared" si="1"/>
        <v>7.5582672498477346E-2</v>
      </c>
      <c r="N16" s="126">
        <f t="shared" si="47"/>
        <v>5.2483950254145944</v>
      </c>
      <c r="P16" s="138">
        <f t="shared" si="48"/>
        <v>302.42314360524745</v>
      </c>
      <c r="Q16" s="138">
        <f t="shared" si="49"/>
        <v>374.1644</v>
      </c>
      <c r="R16" s="138">
        <f t="shared" si="50"/>
        <v>302.42314360524745</v>
      </c>
      <c r="S16" s="138">
        <f t="shared" si="51"/>
        <v>307.46093031195215</v>
      </c>
      <c r="T16" s="138">
        <f t="shared" si="52"/>
        <v>298.94129313490282</v>
      </c>
      <c r="U16" s="138">
        <f t="shared" si="53"/>
        <v>302.42314360524745</v>
      </c>
      <c r="V16" s="138">
        <f t="shared" si="54"/>
        <v>331.14270004344917</v>
      </c>
      <c r="W16" s="138">
        <f t="shared" si="55"/>
        <v>316.99696490086382</v>
      </c>
      <c r="X16" s="138">
        <f t="shared" si="56"/>
        <v>27.454051002262084</v>
      </c>
      <c r="Y16" s="138">
        <f t="shared" si="57"/>
        <v>8.6606668334657204</v>
      </c>
      <c r="AA16" s="227">
        <f t="shared" si="58"/>
        <v>0.40232399520000001</v>
      </c>
      <c r="AB16" s="227">
        <f t="shared" si="59"/>
        <v>0.38908415841584154</v>
      </c>
      <c r="AC16" s="227">
        <f t="shared" si="60"/>
        <v>0.43785380762367465</v>
      </c>
      <c r="AD16" s="227">
        <f t="shared" si="61"/>
        <v>0.40232399520000001</v>
      </c>
      <c r="AE16" s="227">
        <f t="shared" si="62"/>
        <v>0.40789648910987902</v>
      </c>
      <c r="AF16" s="227">
        <f t="shared" si="63"/>
        <v>2.0924069835400128E-2</v>
      </c>
      <c r="AG16" s="227">
        <f t="shared" si="64"/>
        <v>5.1297499228446677</v>
      </c>
      <c r="AI16" s="228">
        <f t="shared" si="65"/>
        <v>3.0079715163774616</v>
      </c>
      <c r="AJ16" s="228">
        <f t="shared" si="66"/>
        <v>3.0079715163774616</v>
      </c>
      <c r="AK16" s="228">
        <f t="shared" si="67"/>
        <v>3.0079715163774616</v>
      </c>
      <c r="AL16" s="228">
        <f t="shared" si="68"/>
        <v>4.1092293958784696</v>
      </c>
      <c r="AM16" s="228">
        <f t="shared" si="69"/>
        <v>2.6533800000000003</v>
      </c>
      <c r="AN16" s="228">
        <f t="shared" si="70"/>
        <v>3.1999255064739751</v>
      </c>
      <c r="AO16" s="228">
        <f t="shared" si="71"/>
        <v>3.1798992003142779</v>
      </c>
      <c r="AP16" s="228">
        <f t="shared" si="72"/>
        <v>3.1666212359713013</v>
      </c>
      <c r="AQ16" s="228">
        <f t="shared" si="73"/>
        <v>0.45253386406937263</v>
      </c>
      <c r="AR16" s="228">
        <f t="shared" si="74"/>
        <v>14.290748098598108</v>
      </c>
      <c r="AT16" s="229">
        <f t="shared" si="75"/>
        <v>1.3380052151238593</v>
      </c>
      <c r="AU16" s="229">
        <f t="shared" si="76"/>
        <v>1.3083964830871713</v>
      </c>
      <c r="AV16" s="229">
        <f t="shared" si="77"/>
        <v>1.2854794187338126</v>
      </c>
      <c r="AW16" s="229">
        <f t="shared" si="78"/>
        <v>1.3380052151238593</v>
      </c>
      <c r="AX16" s="229">
        <f t="shared" si="79"/>
        <v>0.39871776427892541</v>
      </c>
      <c r="AY16" s="229">
        <f t="shared" si="80"/>
        <v>1.2644664853292515</v>
      </c>
      <c r="AZ16" s="229">
        <f t="shared" si="81"/>
        <v>1.2990162515908161</v>
      </c>
      <c r="BA16" s="229">
        <f t="shared" si="82"/>
        <v>1.3074754935309443</v>
      </c>
      <c r="BB16" s="229">
        <f t="shared" si="83"/>
        <v>1.1924452908498298</v>
      </c>
      <c r="BC16" s="229">
        <f t="shared" si="84"/>
        <v>0.32165979524390237</v>
      </c>
      <c r="BD16" s="229">
        <f t="shared" si="85"/>
        <v>26.974805277201646</v>
      </c>
      <c r="BF16" s="230">
        <f t="shared" si="86"/>
        <v>13.274476983087171</v>
      </c>
      <c r="BG16" s="230">
        <f t="shared" si="87"/>
        <v>3.4081223679999972</v>
      </c>
      <c r="BH16" s="230">
        <f t="shared" si="88"/>
        <v>4.5589652209038922</v>
      </c>
      <c r="BI16" s="230">
        <f t="shared" si="2"/>
        <v>7.0805215239970209</v>
      </c>
      <c r="BJ16" s="230">
        <f t="shared" si="3"/>
        <v>5.3948978664952039</v>
      </c>
      <c r="BK16" s="230">
        <f t="shared" si="89"/>
        <v>76.193509873687006</v>
      </c>
      <c r="BM16" s="227">
        <f t="shared" si="90"/>
        <v>18.606720682488927</v>
      </c>
      <c r="BN16" s="227">
        <f t="shared" si="91"/>
        <v>13.741264823353589</v>
      </c>
      <c r="BO16" s="227">
        <f t="shared" si="92"/>
        <v>16.442711614592518</v>
      </c>
      <c r="BP16" s="227">
        <f t="shared" si="93"/>
        <v>13.741264823353589</v>
      </c>
      <c r="BQ16" s="227">
        <f t="shared" si="94"/>
        <v>10.536921153846095</v>
      </c>
      <c r="BR16" s="227">
        <f t="shared" si="95"/>
        <v>13.298993909516541</v>
      </c>
      <c r="BS16" s="227">
        <f t="shared" si="96"/>
        <v>14.643311571840417</v>
      </c>
      <c r="BT16" s="227">
        <f t="shared" si="4"/>
        <v>14.430169796998809</v>
      </c>
      <c r="BU16" s="227">
        <f t="shared" si="5"/>
        <v>2.5470720214294569</v>
      </c>
      <c r="BV16" s="227">
        <f t="shared" si="97"/>
        <v>17.651019061183863</v>
      </c>
      <c r="BX16" s="231">
        <f t="shared" si="98"/>
        <v>0.21481223198210847</v>
      </c>
      <c r="BY16" s="231">
        <f t="shared" si="99"/>
        <v>0.20201261130357173</v>
      </c>
      <c r="BZ16" s="231">
        <f t="shared" si="100"/>
        <v>0.22422913899672947</v>
      </c>
      <c r="CA16" s="231">
        <f t="shared" si="101"/>
        <v>0.18664423161904761</v>
      </c>
      <c r="CB16" s="231">
        <f t="shared" si="102"/>
        <v>0.21881183337578519</v>
      </c>
      <c r="CC16" s="231">
        <f t="shared" si="103"/>
        <v>0.21728122004328951</v>
      </c>
      <c r="CD16" s="231">
        <f t="shared" si="104"/>
        <v>0.32020662163849767</v>
      </c>
      <c r="CE16" s="231">
        <f t="shared" si="105"/>
        <v>0.36841201297279724</v>
      </c>
      <c r="CF16" s="231">
        <f t="shared" si="106"/>
        <v>0.24405123774147836</v>
      </c>
      <c r="CG16" s="231">
        <f t="shared" si="107"/>
        <v>6.42868035937426E-2</v>
      </c>
      <c r="CH16" s="231">
        <f t="shared" si="6"/>
        <v>26.341519177969147</v>
      </c>
      <c r="CJ16" s="232">
        <f t="shared" si="108"/>
        <v>0.98998045439669102</v>
      </c>
      <c r="CK16" s="232">
        <f t="shared" si="109"/>
        <v>0.98998045439669102</v>
      </c>
      <c r="CL16" s="232">
        <f t="shared" si="110"/>
        <v>1.6274320593247391</v>
      </c>
      <c r="CM16" s="232">
        <f t="shared" si="111"/>
        <v>1.2233784718604939</v>
      </c>
      <c r="CN16" s="232">
        <f t="shared" si="112"/>
        <v>1.12694151255722</v>
      </c>
      <c r="CO16" s="232">
        <f t="shared" si="113"/>
        <v>0.98998045439669102</v>
      </c>
      <c r="CP16" s="232">
        <f t="shared" si="114"/>
        <v>0.98998045439669102</v>
      </c>
      <c r="CQ16" s="232">
        <f t="shared" si="115"/>
        <v>1.1185254936302893</v>
      </c>
      <c r="CR16" s="232">
        <f t="shared" si="116"/>
        <v>2.2955317973256286</v>
      </c>
      <c r="CS16" s="232">
        <f t="shared" si="117"/>
        <v>1.0327485714285713</v>
      </c>
      <c r="CT16" s="232">
        <f t="shared" si="118"/>
        <v>1.0702820260119843</v>
      </c>
      <c r="CU16" s="232">
        <f t="shared" si="119"/>
        <v>1.223160159065972</v>
      </c>
      <c r="CV16" s="232">
        <f t="shared" si="120"/>
        <v>0.40134057652336941</v>
      </c>
      <c r="CW16" s="232">
        <f t="shared" si="7"/>
        <v>32.811776409545629</v>
      </c>
      <c r="CY16" s="229">
        <f t="shared" si="8"/>
        <v>0.67160504934806697</v>
      </c>
      <c r="CZ16" s="229">
        <f t="shared" si="9"/>
        <v>0.35486623589412924</v>
      </c>
      <c r="DA16" s="229">
        <f t="shared" si="10"/>
        <v>0.43106139052425452</v>
      </c>
      <c r="DB16" s="229">
        <f t="shared" si="11"/>
        <v>0.75671154580085642</v>
      </c>
      <c r="DC16" s="229">
        <f t="shared" si="12"/>
        <v>0.54619923809523774</v>
      </c>
      <c r="DD16" s="229">
        <f t="shared" si="13"/>
        <v>0.32073298565427943</v>
      </c>
      <c r="DE16" s="229">
        <f t="shared" si="14"/>
        <v>0.66684581362092588</v>
      </c>
      <c r="DF16" s="229">
        <f t="shared" si="15"/>
        <v>0.53543175127682152</v>
      </c>
      <c r="DG16" s="229">
        <f t="shared" si="16"/>
        <v>0.17053159366876117</v>
      </c>
      <c r="DH16" s="229">
        <f t="shared" si="17"/>
        <v>31.849361428809864</v>
      </c>
      <c r="DJ16" s="234">
        <f t="shared" si="121"/>
        <v>6.7812116966904798E-2</v>
      </c>
      <c r="DK16" s="234">
        <f t="shared" si="122"/>
        <v>9.1637995901222694E-2</v>
      </c>
      <c r="DL16" s="234">
        <f t="shared" si="123"/>
        <v>7.7153012377001673E-2</v>
      </c>
      <c r="DM16" s="234">
        <f t="shared" si="18"/>
        <v>7.886770841504305E-2</v>
      </c>
      <c r="DN16" s="234">
        <f t="shared" si="19"/>
        <v>1.2005134885762433E-2</v>
      </c>
      <c r="DO16" s="234">
        <f t="shared" si="20"/>
        <v>15.221863455934519</v>
      </c>
      <c r="DQ16" s="229">
        <f t="shared" si="124"/>
        <v>2.3340243471299531</v>
      </c>
      <c r="DR16" s="229">
        <f t="shared" si="125"/>
        <v>1.4083710421734461</v>
      </c>
      <c r="DS16" s="229">
        <f t="shared" si="126"/>
        <v>2.1601653114660531</v>
      </c>
      <c r="DT16" s="229">
        <f t="shared" si="127"/>
        <v>1.9115777850390754</v>
      </c>
      <c r="DU16" s="229">
        <f t="shared" si="128"/>
        <v>1.4083710421734461</v>
      </c>
      <c r="DV16" s="229">
        <f t="shared" si="129"/>
        <v>1.6700414630399996</v>
      </c>
      <c r="DW16" s="229">
        <f t="shared" si="130"/>
        <v>0.32785860480000006</v>
      </c>
      <c r="DX16" s="229">
        <f t="shared" si="131"/>
        <v>1.3799260028069984</v>
      </c>
      <c r="DY16" s="229">
        <f t="shared" si="21"/>
        <v>1.5750419498286214</v>
      </c>
      <c r="DZ16" s="229">
        <f t="shared" si="22"/>
        <v>0.61988476065596121</v>
      </c>
      <c r="EA16" s="229">
        <f t="shared" si="23"/>
        <v>39.356714322650909</v>
      </c>
      <c r="EC16" s="235">
        <f t="shared" si="132"/>
        <v>0.13126172381319387</v>
      </c>
      <c r="ED16" s="235">
        <f t="shared" si="133"/>
        <v>9.7656697077798824E-2</v>
      </c>
      <c r="EE16" s="235">
        <f t="shared" si="134"/>
        <v>0.10080179549134496</v>
      </c>
      <c r="EF16" s="235">
        <f t="shared" si="135"/>
        <v>0.10031685985350763</v>
      </c>
      <c r="EG16" s="235">
        <f t="shared" si="136"/>
        <v>0.10750926905896131</v>
      </c>
      <c r="EH16" s="235">
        <f t="shared" si="137"/>
        <v>1.5895211368363246E-2</v>
      </c>
      <c r="EI16" s="235">
        <f t="shared" si="24"/>
        <v>14.784968317146529</v>
      </c>
      <c r="EK16" s="236">
        <f t="shared" si="138"/>
        <v>10.542167685589527</v>
      </c>
      <c r="EL16" s="236">
        <f t="shared" si="139"/>
        <v>13.760482151263661</v>
      </c>
      <c r="EM16" s="236">
        <f t="shared" si="140"/>
        <v>13.760482151263661</v>
      </c>
      <c r="EN16" s="236">
        <f t="shared" si="141"/>
        <v>10.355994001640406</v>
      </c>
      <c r="EO16" s="236">
        <f t="shared" si="142"/>
        <v>12.60854224181308</v>
      </c>
      <c r="EP16" s="236">
        <f t="shared" si="143"/>
        <v>13.760482151263661</v>
      </c>
      <c r="EQ16" s="236">
        <f t="shared" si="144"/>
        <v>10.928805321473535</v>
      </c>
      <c r="ER16" s="236">
        <f t="shared" si="145"/>
        <v>12.245279386329646</v>
      </c>
      <c r="ES16" s="236">
        <f t="shared" si="146"/>
        <v>1.5928261493439031</v>
      </c>
      <c r="ET16" s="236">
        <f t="shared" si="25"/>
        <v>13.007675032078881</v>
      </c>
      <c r="EV16" s="238">
        <f t="shared" si="147"/>
        <v>9.1637995921768564E-3</v>
      </c>
      <c r="EW16" s="238">
        <f t="shared" si="148"/>
        <v>9.1637995921768564E-3</v>
      </c>
      <c r="EX16" s="238" t="e">
        <f t="shared" si="149"/>
        <v>#DIV/0!</v>
      </c>
      <c r="EY16" s="238" t="e">
        <f t="shared" si="26"/>
        <v>#DIV/0!</v>
      </c>
      <c r="FA16" s="240">
        <f t="shared" si="150"/>
        <v>0.28407778729379035</v>
      </c>
      <c r="FB16" s="240">
        <f t="shared" si="151"/>
        <v>1.4633390937287601E-3</v>
      </c>
      <c r="FC16" s="240">
        <f t="shared" si="152"/>
        <v>0.14277056319375955</v>
      </c>
      <c r="FD16" s="240">
        <f t="shared" si="153"/>
        <v>0.19983859278355781</v>
      </c>
      <c r="FE16" s="240">
        <f t="shared" si="27"/>
        <v>139.97184595563232</v>
      </c>
      <c r="FG16" s="236">
        <f t="shared" si="154"/>
        <v>0.80414563118054516</v>
      </c>
      <c r="FH16" s="236">
        <f t="shared" si="155"/>
        <v>0.89882639858227542</v>
      </c>
      <c r="FI16" s="236">
        <f t="shared" si="156"/>
        <v>0.75601346618508725</v>
      </c>
      <c r="FJ16" s="236">
        <f t="shared" si="157"/>
        <v>0.43152480769230728</v>
      </c>
      <c r="FK16" s="236">
        <f t="shared" si="158"/>
        <v>0.80667828135895514</v>
      </c>
      <c r="FL16" s="236">
        <f t="shared" si="159"/>
        <v>0.43083046923076895</v>
      </c>
      <c r="FM16" s="236">
        <f t="shared" si="160"/>
        <v>0.68800317570498981</v>
      </c>
      <c r="FN16" s="236">
        <f t="shared" si="161"/>
        <v>0.20423693877217669</v>
      </c>
      <c r="FO16" s="236">
        <f t="shared" si="28"/>
        <v>29.685464542063659</v>
      </c>
      <c r="FQ16" s="227">
        <f t="shared" si="162"/>
        <v>0.22593311911003822</v>
      </c>
      <c r="FR16" s="227">
        <f t="shared" si="163"/>
        <v>0.23247207380834095</v>
      </c>
      <c r="FS16" s="227">
        <f t="shared" si="164"/>
        <v>0.23247207380834095</v>
      </c>
      <c r="FT16" s="227">
        <f t="shared" si="165"/>
        <v>0.18252106097087378</v>
      </c>
      <c r="FU16" s="227">
        <f t="shared" si="166"/>
        <v>0.19092776446019746</v>
      </c>
      <c r="FV16" s="227">
        <f t="shared" si="29"/>
        <v>0.21286521843155826</v>
      </c>
      <c r="FW16" s="227">
        <f t="shared" si="30"/>
        <v>2.4195285503684289E-2</v>
      </c>
      <c r="FX16" s="227">
        <f t="shared" si="31"/>
        <v>11.366481420478616</v>
      </c>
      <c r="FZ16" s="230">
        <f t="shared" si="167"/>
        <v>0.9621989569628383</v>
      </c>
      <c r="GA16" s="230">
        <f t="shared" si="168"/>
        <v>1.6850903136000006</v>
      </c>
      <c r="GB16" s="230">
        <f t="shared" si="169"/>
        <v>1.7823228725169855</v>
      </c>
      <c r="GC16" s="230">
        <f t="shared" si="170"/>
        <v>1.476537381026608</v>
      </c>
      <c r="GD16" s="230">
        <f t="shared" si="171"/>
        <v>0.44807538816552772</v>
      </c>
      <c r="GE16" s="230">
        <f t="shared" si="32"/>
        <v>30.346362640273256</v>
      </c>
      <c r="GG16" s="231">
        <f t="shared" si="172"/>
        <v>6.4146597130855881E-2</v>
      </c>
      <c r="GH16" s="231">
        <f t="shared" si="173"/>
        <v>3.520835451802163E-2</v>
      </c>
      <c r="GI16" s="231">
        <f t="shared" si="174"/>
        <v>1.7626761904761902E-2</v>
      </c>
      <c r="GJ16" s="231">
        <f t="shared" si="175"/>
        <v>1.8820574942994755E-2</v>
      </c>
      <c r="GK16" s="245">
        <f t="shared" si="186"/>
        <v>2.3885230455259431E-2</v>
      </c>
      <c r="GL16" s="231">
        <f t="shared" si="187"/>
        <v>9.8242633972268744E-3</v>
      </c>
      <c r="GM16" s="231">
        <f t="shared" si="33"/>
        <v>41.131122496930359</v>
      </c>
      <c r="GO16" s="246">
        <f t="shared" si="176"/>
        <v>0.10286692307692313</v>
      </c>
      <c r="GP16" s="246">
        <f t="shared" si="177"/>
        <v>0.10538369528640609</v>
      </c>
      <c r="GQ16" s="247">
        <f t="shared" si="188"/>
        <v>0.10412530918166461</v>
      </c>
      <c r="GR16" s="246">
        <f t="shared" si="189"/>
        <v>1.7796266960272507E-3</v>
      </c>
      <c r="GS16" s="246">
        <f t="shared" si="34"/>
        <v>1.7091202033526585</v>
      </c>
      <c r="GU16" s="249">
        <f t="shared" si="178"/>
        <v>1.2980522119408195E-2</v>
      </c>
      <c r="GV16" s="249">
        <f t="shared" si="179"/>
        <v>1.2980522119408195E-2</v>
      </c>
      <c r="GW16" s="249" t="e">
        <f t="shared" si="180"/>
        <v>#DIV/0!</v>
      </c>
      <c r="GX16" s="249" t="e">
        <f t="shared" si="35"/>
        <v>#DIV/0!</v>
      </c>
      <c r="GZ16" s="240">
        <f t="shared" si="181"/>
        <v>1.3745699385183406E-2</v>
      </c>
      <c r="HA16" s="240">
        <f t="shared" si="182"/>
        <v>1.3745699385183406E-2</v>
      </c>
      <c r="HB16" s="240" t="e">
        <f t="shared" si="183"/>
        <v>#DIV/0!</v>
      </c>
      <c r="HC16" s="240" t="e">
        <f t="shared" si="36"/>
        <v>#DIV/0!</v>
      </c>
      <c r="HE16" s="234">
        <f t="shared" si="184"/>
        <v>5.4094407561227499E-2</v>
      </c>
      <c r="HF16" s="234">
        <f t="shared" si="185"/>
        <v>5.4094407561227499E-2</v>
      </c>
      <c r="HG16" s="251">
        <f t="shared" si="190"/>
        <v>5.4094407561227499E-2</v>
      </c>
      <c r="HH16" s="234">
        <f t="shared" si="191"/>
        <v>0</v>
      </c>
      <c r="HI16" s="234">
        <f t="shared" si="37"/>
        <v>0</v>
      </c>
    </row>
    <row r="17" spans="2:217" ht="15.6" x14ac:dyDescent="0.25">
      <c r="B17">
        <v>13</v>
      </c>
      <c r="C17" s="124">
        <f t="shared" si="38"/>
        <v>50.694034791835037</v>
      </c>
      <c r="D17" s="124">
        <f t="shared" si="39"/>
        <v>158.77027379747432</v>
      </c>
      <c r="E17" s="29">
        <f t="shared" si="40"/>
        <v>1.7056014407032944</v>
      </c>
      <c r="F17" s="29">
        <f t="shared" si="41"/>
        <v>1.5060702998020081</v>
      </c>
      <c r="G17" s="29">
        <f t="shared" si="42"/>
        <v>1.5015183843251534</v>
      </c>
      <c r="H17" s="29">
        <f t="shared" si="43"/>
        <v>1.505429418823369</v>
      </c>
      <c r="I17" s="29">
        <f t="shared" si="44"/>
        <v>1.5215853587529955</v>
      </c>
      <c r="J17" s="29">
        <f t="shared" si="45"/>
        <v>1.505429418823369</v>
      </c>
      <c r="K17" s="29">
        <f t="shared" si="46"/>
        <v>1.4937950038855423</v>
      </c>
      <c r="L17" s="125">
        <f t="shared" si="0"/>
        <v>1.5342041893022476</v>
      </c>
      <c r="M17" s="126">
        <f t="shared" si="1"/>
        <v>7.6031799658588764E-2</v>
      </c>
      <c r="N17" s="126">
        <f t="shared" si="47"/>
        <v>4.9557809963462454</v>
      </c>
      <c r="P17" s="138">
        <f t="shared" si="48"/>
        <v>322.18287975347198</v>
      </c>
      <c r="Q17" s="138">
        <f t="shared" si="49"/>
        <v>389.75639999999999</v>
      </c>
      <c r="R17" s="138">
        <f t="shared" si="50"/>
        <v>322.18287975347198</v>
      </c>
      <c r="S17" s="138">
        <f t="shared" si="51"/>
        <v>329.55527801631376</v>
      </c>
      <c r="T17" s="138">
        <f t="shared" si="52"/>
        <v>323.52106793154138</v>
      </c>
      <c r="U17" s="138">
        <f t="shared" si="53"/>
        <v>322.18287975347198</v>
      </c>
      <c r="V17" s="138">
        <f t="shared" si="54"/>
        <v>343.48493142516099</v>
      </c>
      <c r="W17" s="138">
        <f t="shared" si="55"/>
        <v>336.12375951906171</v>
      </c>
      <c r="X17" s="138">
        <f t="shared" si="56"/>
        <v>24.885283961968064</v>
      </c>
      <c r="Y17" s="138">
        <f t="shared" si="57"/>
        <v>7.4036075276484024</v>
      </c>
      <c r="AA17" s="227">
        <f t="shared" si="58"/>
        <v>0.40669668754999999</v>
      </c>
      <c r="AB17" s="227">
        <f t="shared" si="59"/>
        <v>0.39042452830188679</v>
      </c>
      <c r="AC17" s="227">
        <f t="shared" si="60"/>
        <v>0.44267509521675447</v>
      </c>
      <c r="AD17" s="227">
        <f t="shared" si="61"/>
        <v>0.40669668754999999</v>
      </c>
      <c r="AE17" s="227">
        <f t="shared" si="62"/>
        <v>0.41162324965466029</v>
      </c>
      <c r="AF17" s="227">
        <f t="shared" si="63"/>
        <v>2.2076721738419656E-2</v>
      </c>
      <c r="AG17" s="227">
        <f t="shared" si="64"/>
        <v>5.3633320656550305</v>
      </c>
      <c r="AI17" s="228">
        <f t="shared" si="65"/>
        <v>3.2470130874644787</v>
      </c>
      <c r="AJ17" s="228">
        <f t="shared" si="66"/>
        <v>3.2470130874644787</v>
      </c>
      <c r="AK17" s="228">
        <f t="shared" si="67"/>
        <v>3.2470130874644787</v>
      </c>
      <c r="AL17" s="228">
        <f t="shared" si="68"/>
        <v>4.5463555462220988</v>
      </c>
      <c r="AM17" s="228">
        <f t="shared" si="69"/>
        <v>2.7769058000000006</v>
      </c>
      <c r="AN17" s="228">
        <f t="shared" si="70"/>
        <v>3.4153382343815921</v>
      </c>
      <c r="AO17" s="228">
        <f t="shared" si="71"/>
        <v>3.4160218335320547</v>
      </c>
      <c r="AP17" s="228">
        <f t="shared" si="72"/>
        <v>3.4136658109327405</v>
      </c>
      <c r="AQ17" s="228">
        <f t="shared" si="73"/>
        <v>0.54341161294697216</v>
      </c>
      <c r="AR17" s="228">
        <f t="shared" si="74"/>
        <v>15.918711527256733</v>
      </c>
      <c r="AT17" s="229">
        <f t="shared" si="75"/>
        <v>1.3454931285367826</v>
      </c>
      <c r="AU17" s="229">
        <f t="shared" si="76"/>
        <v>1.2864480329152022</v>
      </c>
      <c r="AV17" s="229">
        <f t="shared" si="77"/>
        <v>1.3039192772145527</v>
      </c>
      <c r="AW17" s="229">
        <f t="shared" si="78"/>
        <v>1.3454931285367826</v>
      </c>
      <c r="AX17" s="229">
        <f t="shared" si="79"/>
        <v>0.38474947690070815</v>
      </c>
      <c r="AY17" s="229">
        <f t="shared" si="80"/>
        <v>1.2692532844543825</v>
      </c>
      <c r="AZ17" s="229">
        <f t="shared" si="81"/>
        <v>1.2994453317525736</v>
      </c>
      <c r="BA17" s="229">
        <f t="shared" si="82"/>
        <v>1.3053993821818388</v>
      </c>
      <c r="BB17" s="229">
        <f t="shared" si="83"/>
        <v>1.1925251303116031</v>
      </c>
      <c r="BC17" s="229">
        <f t="shared" si="84"/>
        <v>0.32745552078603046</v>
      </c>
      <c r="BD17" s="229">
        <f t="shared" si="85"/>
        <v>27.459003794785218</v>
      </c>
      <c r="BF17" s="230">
        <f t="shared" si="86"/>
        <v>14.216788532915201</v>
      </c>
      <c r="BG17" s="230">
        <f t="shared" si="87"/>
        <v>3.8598522770000003</v>
      </c>
      <c r="BH17" s="230">
        <f t="shared" si="88"/>
        <v>5.5348297742624437</v>
      </c>
      <c r="BI17" s="230">
        <f t="shared" si="2"/>
        <v>7.8704901947258818</v>
      </c>
      <c r="BJ17" s="230">
        <f t="shared" si="3"/>
        <v>5.5594976708388213</v>
      </c>
      <c r="BK17" s="230">
        <f t="shared" si="89"/>
        <v>70.637247913278813</v>
      </c>
      <c r="BM17" s="227">
        <f t="shared" si="90"/>
        <v>20.520957771228698</v>
      </c>
      <c r="BN17" s="227">
        <f t="shared" si="91"/>
        <v>15.118148494538183</v>
      </c>
      <c r="BO17" s="227">
        <f t="shared" si="92"/>
        <v>17.882238858648314</v>
      </c>
      <c r="BP17" s="227">
        <f t="shared" si="93"/>
        <v>15.118148494538183</v>
      </c>
      <c r="BQ17" s="227">
        <f t="shared" si="94"/>
        <v>12.13177163461534</v>
      </c>
      <c r="BR17" s="227">
        <f t="shared" si="95"/>
        <v>14.735101419214125</v>
      </c>
      <c r="BS17" s="227">
        <f t="shared" si="96"/>
        <v>16.778364774295284</v>
      </c>
      <c r="BT17" s="227">
        <f t="shared" si="4"/>
        <v>16.040675921011161</v>
      </c>
      <c r="BU17" s="227">
        <f t="shared" si="5"/>
        <v>2.6675405513963377</v>
      </c>
      <c r="BV17" s="227">
        <f t="shared" si="97"/>
        <v>16.629851288886229</v>
      </c>
      <c r="BX17" s="231">
        <f t="shared" si="98"/>
        <v>0.24695658897800618</v>
      </c>
      <c r="BY17" s="231">
        <f t="shared" si="99"/>
        <v>0.21873560317152871</v>
      </c>
      <c r="BZ17" s="231">
        <f t="shared" si="100"/>
        <v>0.23949589849898384</v>
      </c>
      <c r="CA17" s="231">
        <f t="shared" si="101"/>
        <v>0.19980512552380977</v>
      </c>
      <c r="CB17" s="231">
        <f t="shared" si="102"/>
        <v>0.24032812163368533</v>
      </c>
      <c r="CC17" s="231">
        <f t="shared" si="103"/>
        <v>0.23397930617834364</v>
      </c>
      <c r="CD17" s="231">
        <f t="shared" si="104"/>
        <v>0.3475226929288191</v>
      </c>
      <c r="CE17" s="231">
        <f t="shared" si="105"/>
        <v>0.38872781997169609</v>
      </c>
      <c r="CF17" s="231">
        <f t="shared" si="106"/>
        <v>0.26444389461060908</v>
      </c>
      <c r="CG17" s="231">
        <f t="shared" si="107"/>
        <v>6.6605307844463432E-2</v>
      </c>
      <c r="CH17" s="231">
        <f t="shared" si="6"/>
        <v>25.186933486416489</v>
      </c>
      <c r="CJ17" s="232">
        <f t="shared" si="108"/>
        <v>1.0712168909048652</v>
      </c>
      <c r="CK17" s="232">
        <f t="shared" si="109"/>
        <v>1.0712168909048652</v>
      </c>
      <c r="CL17" s="232">
        <f t="shared" si="110"/>
        <v>1.7099402752947475</v>
      </c>
      <c r="CM17" s="232">
        <f t="shared" si="111"/>
        <v>1.3337459285740967</v>
      </c>
      <c r="CN17" s="232">
        <f t="shared" si="112"/>
        <v>1.2474904588164548</v>
      </c>
      <c r="CO17" s="232">
        <f t="shared" si="113"/>
        <v>1.0712168909048652</v>
      </c>
      <c r="CP17" s="232">
        <f t="shared" si="114"/>
        <v>1.0712168909048652</v>
      </c>
      <c r="CQ17" s="232">
        <f t="shared" si="115"/>
        <v>1.2208947087050626</v>
      </c>
      <c r="CR17" s="232">
        <f t="shared" si="116"/>
        <v>2.5397711430709351</v>
      </c>
      <c r="CS17" s="232">
        <f t="shared" si="117"/>
        <v>1.1216698095238098</v>
      </c>
      <c r="CT17" s="232">
        <f t="shared" si="118"/>
        <v>1.1292373165364731</v>
      </c>
      <c r="CU17" s="232">
        <f t="shared" si="119"/>
        <v>1.3261470185582764</v>
      </c>
      <c r="CV17" s="232">
        <f t="shared" si="120"/>
        <v>0.44475220806367732</v>
      </c>
      <c r="CW17" s="232">
        <f t="shared" si="7"/>
        <v>33.537172111368967</v>
      </c>
      <c r="CY17" s="229">
        <f t="shared" si="8"/>
        <v>0.72740033844085239</v>
      </c>
      <c r="CZ17" s="229">
        <f t="shared" si="9"/>
        <v>0.40167850430145768</v>
      </c>
      <c r="DA17" s="229">
        <f t="shared" si="10"/>
        <v>0.45275529885358745</v>
      </c>
      <c r="DB17" s="229">
        <f t="shared" si="11"/>
        <v>0.82597927218998379</v>
      </c>
      <c r="DC17" s="229">
        <f t="shared" si="12"/>
        <v>0.56967704761904669</v>
      </c>
      <c r="DD17" s="229">
        <f t="shared" si="13"/>
        <v>0.35485824354284529</v>
      </c>
      <c r="DE17" s="229">
        <f t="shared" si="14"/>
        <v>0.72156374215556252</v>
      </c>
      <c r="DF17" s="229">
        <f t="shared" si="15"/>
        <v>0.57913034958619092</v>
      </c>
      <c r="DG17" s="229">
        <f t="shared" si="16"/>
        <v>0.18305409255839283</v>
      </c>
      <c r="DH17" s="229">
        <f t="shared" si="17"/>
        <v>31.608444055676145</v>
      </c>
      <c r="DJ17" s="234">
        <f t="shared" si="121"/>
        <v>7.5027171491915859E-2</v>
      </c>
      <c r="DK17" s="234">
        <f t="shared" si="122"/>
        <v>0.10138806958367008</v>
      </c>
      <c r="DL17" s="234">
        <f t="shared" si="123"/>
        <v>8.3675473663650676E-2</v>
      </c>
      <c r="DM17" s="234">
        <f t="shared" si="18"/>
        <v>8.6696904913078868E-2</v>
      </c>
      <c r="DN17" s="234">
        <f t="shared" si="19"/>
        <v>1.3437671753217868E-2</v>
      </c>
      <c r="DO17" s="234">
        <f t="shared" si="20"/>
        <v>15.499598015281277</v>
      </c>
      <c r="DQ17" s="229">
        <f t="shared" si="124"/>
        <v>2.5276664915872167</v>
      </c>
      <c r="DR17" s="229">
        <f t="shared" si="125"/>
        <v>1.680290704893336</v>
      </c>
      <c r="DS17" s="229">
        <f t="shared" si="126"/>
        <v>2.3013062839533713</v>
      </c>
      <c r="DT17" s="229">
        <f t="shared" si="127"/>
        <v>2.0028197329987227</v>
      </c>
      <c r="DU17" s="229">
        <f t="shared" si="128"/>
        <v>1.680290704893336</v>
      </c>
      <c r="DV17" s="229">
        <f t="shared" si="129"/>
        <v>1.719866059460001</v>
      </c>
      <c r="DW17" s="229">
        <f t="shared" si="130"/>
        <v>0.37002399980000011</v>
      </c>
      <c r="DX17" s="229">
        <f t="shared" si="131"/>
        <v>1.610176831985644</v>
      </c>
      <c r="DY17" s="229">
        <f t="shared" si="21"/>
        <v>1.7365551011964535</v>
      </c>
      <c r="DZ17" s="229">
        <f t="shared" si="22"/>
        <v>0.64428106015148523</v>
      </c>
      <c r="EA17" s="229">
        <f t="shared" si="23"/>
        <v>37.101100892657414</v>
      </c>
      <c r="EC17" s="235">
        <f t="shared" si="132"/>
        <v>0.14385112818996523</v>
      </c>
      <c r="ED17" s="235">
        <f t="shared" si="133"/>
        <v>0.10592157711574939</v>
      </c>
      <c r="EE17" s="235">
        <f t="shared" si="134"/>
        <v>0.11152687654203709</v>
      </c>
      <c r="EF17" s="235">
        <f t="shared" si="135"/>
        <v>0.10795940225294934</v>
      </c>
      <c r="EG17" s="235">
        <f t="shared" si="136"/>
        <v>0.11731474602517525</v>
      </c>
      <c r="EH17" s="235">
        <f t="shared" si="137"/>
        <v>1.7841952120819765E-2</v>
      </c>
      <c r="EI17" s="235">
        <f t="shared" si="24"/>
        <v>15.208618460454201</v>
      </c>
      <c r="EK17" s="236">
        <f t="shared" si="138"/>
        <v>12.471700982532754</v>
      </c>
      <c r="EL17" s="236">
        <f t="shared" si="139"/>
        <v>15.586106940515752</v>
      </c>
      <c r="EM17" s="236">
        <f t="shared" si="140"/>
        <v>15.586106940515752</v>
      </c>
      <c r="EN17" s="236">
        <f t="shared" si="141"/>
        <v>10.905225804258388</v>
      </c>
      <c r="EO17" s="236">
        <f t="shared" si="142"/>
        <v>14.429821476088946</v>
      </c>
      <c r="EP17" s="236">
        <f t="shared" si="143"/>
        <v>15.586106940515752</v>
      </c>
      <c r="EQ17" s="236">
        <f t="shared" si="144"/>
        <v>13.00874357867267</v>
      </c>
      <c r="ER17" s="236">
        <f t="shared" si="145"/>
        <v>13.939116094728572</v>
      </c>
      <c r="ES17" s="236">
        <f t="shared" si="146"/>
        <v>1.8530119056263781</v>
      </c>
      <c r="ET17" s="236">
        <f t="shared" si="25"/>
        <v>13.293611252202291</v>
      </c>
      <c r="EV17" s="238">
        <f t="shared" si="147"/>
        <v>1.0138806958668558E-2</v>
      </c>
      <c r="EW17" s="238">
        <f t="shared" si="148"/>
        <v>1.0138806958668558E-2</v>
      </c>
      <c r="EX17" s="238" t="e">
        <f t="shared" si="149"/>
        <v>#DIV/0!</v>
      </c>
      <c r="EY17" s="238" t="e">
        <f t="shared" si="26"/>
        <v>#DIV/0!</v>
      </c>
      <c r="FA17" s="240">
        <f t="shared" si="150"/>
        <v>0.31430301570937724</v>
      </c>
      <c r="FB17" s="240">
        <f t="shared" si="151"/>
        <v>1.0802288794520063E-2</v>
      </c>
      <c r="FC17" s="240">
        <f t="shared" si="152"/>
        <v>0.16255265225194865</v>
      </c>
      <c r="FD17" s="240">
        <f t="shared" si="153"/>
        <v>0.21460742209654202</v>
      </c>
      <c r="FE17" s="240">
        <f t="shared" si="27"/>
        <v>132.02332851752615</v>
      </c>
      <c r="FG17" s="236">
        <f t="shared" si="154"/>
        <v>0.87206247224348077</v>
      </c>
      <c r="FH17" s="236">
        <f t="shared" si="155"/>
        <v>0.98577943681699332</v>
      </c>
      <c r="FI17" s="236">
        <f t="shared" si="156"/>
        <v>0.83645157406527815</v>
      </c>
      <c r="FJ17" s="236">
        <f t="shared" si="157"/>
        <v>0.50531932692307768</v>
      </c>
      <c r="FK17" s="236">
        <f t="shared" si="158"/>
        <v>0.86314249032352686</v>
      </c>
      <c r="FL17" s="236">
        <f t="shared" si="159"/>
        <v>0.50409679134615382</v>
      </c>
      <c r="FM17" s="236">
        <f t="shared" si="160"/>
        <v>0.76114201528641834</v>
      </c>
      <c r="FN17" s="236">
        <f t="shared" si="161"/>
        <v>0.20511384180824066</v>
      </c>
      <c r="FO17" s="236">
        <f t="shared" si="28"/>
        <v>26.948169683032958</v>
      </c>
      <c r="FQ17" s="227">
        <f t="shared" si="162"/>
        <v>0.24164277229473419</v>
      </c>
      <c r="FR17" s="227">
        <f t="shared" si="163"/>
        <v>0.25158818135163424</v>
      </c>
      <c r="FS17" s="227">
        <f t="shared" si="164"/>
        <v>0.25158818135163424</v>
      </c>
      <c r="FT17" s="227">
        <f t="shared" si="165"/>
        <v>0.1984805008737866</v>
      </c>
      <c r="FU17" s="227">
        <f t="shared" si="166"/>
        <v>0.21124204297757659</v>
      </c>
      <c r="FV17" s="227">
        <f t="shared" si="29"/>
        <v>0.23090833576987319</v>
      </c>
      <c r="FW17" s="227">
        <f t="shared" si="30"/>
        <v>2.4540108507896934E-2</v>
      </c>
      <c r="FX17" s="227">
        <f t="shared" si="31"/>
        <v>10.62764080217268</v>
      </c>
      <c r="FZ17" s="230">
        <f t="shared" si="167"/>
        <v>1.0645747306285358</v>
      </c>
      <c r="GA17" s="230">
        <f t="shared" si="168"/>
        <v>1.9170497676000011</v>
      </c>
      <c r="GB17" s="230">
        <f t="shared" si="169"/>
        <v>2.011284377184877</v>
      </c>
      <c r="GC17" s="230">
        <f t="shared" si="170"/>
        <v>1.664302958471138</v>
      </c>
      <c r="GD17" s="230">
        <f t="shared" si="171"/>
        <v>0.52151270441315667</v>
      </c>
      <c r="GE17" s="230">
        <f t="shared" si="32"/>
        <v>31.335202629948377</v>
      </c>
      <c r="GG17" s="231">
        <f t="shared" si="172"/>
        <v>7.0971648708569049E-2</v>
      </c>
      <c r="GH17" s="231">
        <f t="shared" si="173"/>
        <v>3.8140702263671715E-2</v>
      </c>
      <c r="GI17" s="231">
        <f t="shared" si="174"/>
        <v>2.0795238095238096E-2</v>
      </c>
      <c r="GJ17" s="231">
        <f t="shared" si="175"/>
        <v>2.4534767154061859E-2</v>
      </c>
      <c r="GK17" s="245">
        <f t="shared" si="186"/>
        <v>2.7823569170990558E-2</v>
      </c>
      <c r="GL17" s="231">
        <f t="shared" si="187"/>
        <v>9.1284415884924953E-3</v>
      </c>
      <c r="GM17" s="231">
        <f t="shared" si="33"/>
        <v>32.808305549850168</v>
      </c>
      <c r="GO17" s="246">
        <f t="shared" si="176"/>
        <v>0.11180250000000003</v>
      </c>
      <c r="GP17" s="246">
        <f t="shared" si="177"/>
        <v>0.11659628002122058</v>
      </c>
      <c r="GQ17" s="247">
        <f t="shared" si="188"/>
        <v>0.1141993900106103</v>
      </c>
      <c r="GR17" s="246">
        <f t="shared" si="189"/>
        <v>3.3897143605216428E-3</v>
      </c>
      <c r="GS17" s="246">
        <f t="shared" si="34"/>
        <v>2.9682420897403246</v>
      </c>
      <c r="GU17" s="249">
        <f t="shared" si="178"/>
        <v>1.4361620056526867E-2</v>
      </c>
      <c r="GV17" s="249">
        <f t="shared" si="179"/>
        <v>1.4361620056526867E-2</v>
      </c>
      <c r="GW17" s="249" t="e">
        <f t="shared" si="180"/>
        <v>#DIV/0!</v>
      </c>
      <c r="GX17" s="249" t="e">
        <f t="shared" si="35"/>
        <v>#DIV/0!</v>
      </c>
      <c r="GZ17" s="240">
        <f t="shared" si="181"/>
        <v>1.5208210437550513E-2</v>
      </c>
      <c r="HA17" s="240">
        <f t="shared" si="182"/>
        <v>1.5208210437550513E-2</v>
      </c>
      <c r="HB17" s="240" t="e">
        <f t="shared" si="183"/>
        <v>#DIV/0!</v>
      </c>
      <c r="HC17" s="240" t="e">
        <f t="shared" si="36"/>
        <v>#DIV/0!</v>
      </c>
      <c r="HE17" s="234">
        <f t="shared" si="184"/>
        <v>5.9895701402283688E-2</v>
      </c>
      <c r="HF17" s="234">
        <f t="shared" si="185"/>
        <v>5.9895701402283688E-2</v>
      </c>
      <c r="HG17" s="251">
        <f t="shared" si="190"/>
        <v>5.9895701402283688E-2</v>
      </c>
      <c r="HH17" s="234">
        <f t="shared" si="191"/>
        <v>0</v>
      </c>
      <c r="HI17" s="234">
        <f t="shared" si="37"/>
        <v>0</v>
      </c>
    </row>
    <row r="18" spans="2:217" ht="15.6" x14ac:dyDescent="0.25">
      <c r="B18">
        <v>14</v>
      </c>
      <c r="C18" s="124">
        <f t="shared" si="38"/>
        <v>55.309353666753964</v>
      </c>
      <c r="D18" s="124">
        <f t="shared" si="39"/>
        <v>162.78496601614731</v>
      </c>
      <c r="E18" s="29">
        <f t="shared" si="40"/>
        <v>1.7922992801559436</v>
      </c>
      <c r="F18" s="29">
        <f t="shared" si="41"/>
        <v>1.591880139515353</v>
      </c>
      <c r="G18" s="29">
        <f t="shared" si="42"/>
        <v>1.5866315435960101</v>
      </c>
      <c r="H18" s="29">
        <f t="shared" si="43"/>
        <v>1.5912027437113041</v>
      </c>
      <c r="I18" s="29">
        <f t="shared" si="44"/>
        <v>1.6088996580787789</v>
      </c>
      <c r="J18" s="29">
        <f t="shared" si="45"/>
        <v>1.5912027437113039</v>
      </c>
      <c r="K18" s="29">
        <f t="shared" si="46"/>
        <v>1.5810342553533774</v>
      </c>
      <c r="L18" s="125">
        <f t="shared" si="0"/>
        <v>1.6204500520174387</v>
      </c>
      <c r="M18" s="126">
        <f t="shared" si="1"/>
        <v>7.625605477286819E-2</v>
      </c>
      <c r="N18" s="126">
        <f t="shared" si="47"/>
        <v>4.7058565413929552</v>
      </c>
      <c r="P18" s="138">
        <f t="shared" si="48"/>
        <v>340.29451092366213</v>
      </c>
      <c r="Q18" s="138">
        <f t="shared" si="49"/>
        <v>403.85559999999998</v>
      </c>
      <c r="R18" s="138">
        <f t="shared" si="50"/>
        <v>340.29451092366213</v>
      </c>
      <c r="S18" s="138">
        <f t="shared" si="51"/>
        <v>349.92160104634183</v>
      </c>
      <c r="T18" s="138">
        <f t="shared" si="52"/>
        <v>346.31864651070015</v>
      </c>
      <c r="U18" s="138">
        <f t="shared" si="53"/>
        <v>340.29451092366213</v>
      </c>
      <c r="V18" s="138">
        <f t="shared" si="54"/>
        <v>354.68093428658295</v>
      </c>
      <c r="W18" s="138">
        <f t="shared" si="55"/>
        <v>353.66575923065875</v>
      </c>
      <c r="X18" s="138">
        <f t="shared" si="56"/>
        <v>22.819656463003714</v>
      </c>
      <c r="Y18" s="138">
        <f t="shared" si="57"/>
        <v>6.4523228125459742</v>
      </c>
      <c r="AA18" s="227">
        <f t="shared" si="58"/>
        <v>0.41081265160000002</v>
      </c>
      <c r="AB18" s="227">
        <f t="shared" si="59"/>
        <v>0.39164414414414411</v>
      </c>
      <c r="AC18" s="227">
        <f t="shared" si="60"/>
        <v>0.44749638372973921</v>
      </c>
      <c r="AD18" s="227">
        <f t="shared" si="61"/>
        <v>0.41081265160000002</v>
      </c>
      <c r="AE18" s="227">
        <f t="shared" si="62"/>
        <v>0.41519145776847088</v>
      </c>
      <c r="AF18" s="227">
        <f t="shared" si="63"/>
        <v>2.3355456944131284E-2</v>
      </c>
      <c r="AG18" s="227">
        <f t="shared" si="64"/>
        <v>5.6252257861131909</v>
      </c>
      <c r="AI18" s="228">
        <f t="shared" si="65"/>
        <v>3.4688202133283554</v>
      </c>
      <c r="AJ18" s="228">
        <f t="shared" si="66"/>
        <v>3.4688202133283554</v>
      </c>
      <c r="AK18" s="228">
        <f t="shared" si="67"/>
        <v>3.4688202133283554</v>
      </c>
      <c r="AL18" s="228">
        <f t="shared" si="68"/>
        <v>4.9601784409523946</v>
      </c>
      <c r="AM18" s="228">
        <f t="shared" si="69"/>
        <v>2.9216896000000006</v>
      </c>
      <c r="AN18" s="228">
        <f t="shared" si="70"/>
        <v>3.5974973524174128</v>
      </c>
      <c r="AO18" s="228">
        <f t="shared" si="71"/>
        <v>3.6324501305343277</v>
      </c>
      <c r="AP18" s="228">
        <f t="shared" si="72"/>
        <v>3.645468023412743</v>
      </c>
      <c r="AQ18" s="228">
        <f t="shared" si="73"/>
        <v>0.62562005048574154</v>
      </c>
      <c r="AR18" s="228">
        <f t="shared" si="74"/>
        <v>17.161583820451696</v>
      </c>
      <c r="AT18" s="229">
        <f t="shared" si="75"/>
        <v>1.3520022667170382</v>
      </c>
      <c r="AU18" s="229">
        <f t="shared" si="76"/>
        <v>1.2571122954391998</v>
      </c>
      <c r="AV18" s="229">
        <f t="shared" si="77"/>
        <v>1.3198649726317968</v>
      </c>
      <c r="AW18" s="229">
        <f t="shared" si="78"/>
        <v>1.3520022667170382</v>
      </c>
      <c r="AX18" s="229">
        <f t="shared" si="79"/>
        <v>0.37484008290775866</v>
      </c>
      <c r="AY18" s="229">
        <f t="shared" si="80"/>
        <v>1.2733961706812751</v>
      </c>
      <c r="AZ18" s="229">
        <f t="shared" si="81"/>
        <v>1.2996872606229084</v>
      </c>
      <c r="BA18" s="229">
        <f t="shared" si="82"/>
        <v>1.303325964673185</v>
      </c>
      <c r="BB18" s="229">
        <f t="shared" si="83"/>
        <v>1.1915289100487749</v>
      </c>
      <c r="BC18" s="229">
        <f t="shared" si="84"/>
        <v>0.33169573423360488</v>
      </c>
      <c r="BD18" s="229">
        <f t="shared" si="85"/>
        <v>27.837825119998726</v>
      </c>
      <c r="BF18" s="230">
        <f t="shared" si="86"/>
        <v>15.151712795439202</v>
      </c>
      <c r="BG18" s="230">
        <f t="shared" si="87"/>
        <v>4.3653548160000017</v>
      </c>
      <c r="BH18" s="230">
        <f t="shared" si="88"/>
        <v>6.1431953906432453</v>
      </c>
      <c r="BI18" s="230">
        <f t="shared" si="2"/>
        <v>8.5534210006941489</v>
      </c>
      <c r="BJ18" s="230">
        <f t="shared" si="3"/>
        <v>5.783015669498214</v>
      </c>
      <c r="BK18" s="230">
        <f t="shared" si="89"/>
        <v>67.61055803319978</v>
      </c>
      <c r="BM18" s="227">
        <f t="shared" si="90"/>
        <v>22.483974206167026</v>
      </c>
      <c r="BN18" s="227">
        <f t="shared" si="91"/>
        <v>16.440586377714535</v>
      </c>
      <c r="BO18" s="227">
        <f t="shared" si="92"/>
        <v>19.06285723989647</v>
      </c>
      <c r="BP18" s="227">
        <f t="shared" si="93"/>
        <v>16.440586377714535</v>
      </c>
      <c r="BQ18" s="227">
        <f t="shared" si="94"/>
        <v>13.46946346153843</v>
      </c>
      <c r="BR18" s="227">
        <f t="shared" si="95"/>
        <v>16.093045401417715</v>
      </c>
      <c r="BS18" s="227">
        <f t="shared" si="96"/>
        <v>18.250921706896129</v>
      </c>
      <c r="BT18" s="227">
        <f t="shared" si="4"/>
        <v>17.463062110192119</v>
      </c>
      <c r="BU18" s="227">
        <f t="shared" si="5"/>
        <v>2.8374376548954809</v>
      </c>
      <c r="BV18" s="227">
        <f t="shared" si="97"/>
        <v>16.248225179474353</v>
      </c>
      <c r="BX18" s="231">
        <f t="shared" si="98"/>
        <v>0.26327657616608846</v>
      </c>
      <c r="BY18" s="231">
        <f t="shared" si="99"/>
        <v>0.23454659540080652</v>
      </c>
      <c r="BZ18" s="231">
        <f t="shared" si="100"/>
        <v>0.25323347380275441</v>
      </c>
      <c r="CA18" s="231">
        <f t="shared" si="101"/>
        <v>0.21066124038095241</v>
      </c>
      <c r="CB18" s="231">
        <f t="shared" si="102"/>
        <v>0.26066455314793896</v>
      </c>
      <c r="CC18" s="231">
        <f t="shared" si="103"/>
        <v>0.24955107651140856</v>
      </c>
      <c r="CD18" s="231">
        <f t="shared" si="104"/>
        <v>0.37490091458024888</v>
      </c>
      <c r="CE18" s="231">
        <f t="shared" si="105"/>
        <v>0.40640012929591801</v>
      </c>
      <c r="CF18" s="231">
        <f t="shared" si="106"/>
        <v>0.28165431991076456</v>
      </c>
      <c r="CG18" s="231">
        <f t="shared" si="107"/>
        <v>6.9828641207704864E-2</v>
      </c>
      <c r="CH18" s="231">
        <f t="shared" si="6"/>
        <v>24.792320327211172</v>
      </c>
      <c r="CJ18" s="232">
        <f t="shared" si="108"/>
        <v>1.1465525310767375</v>
      </c>
      <c r="CK18" s="232">
        <f t="shared" si="109"/>
        <v>1.1465525310767375</v>
      </c>
      <c r="CL18" s="232">
        <f t="shared" si="110"/>
        <v>1.7907004585658033</v>
      </c>
      <c r="CM18" s="232">
        <f t="shared" si="111"/>
        <v>1.4360548200212937</v>
      </c>
      <c r="CN18" s="232">
        <f t="shared" si="112"/>
        <v>1.3614567233607124</v>
      </c>
      <c r="CO18" s="232">
        <f t="shared" si="113"/>
        <v>1.1465525310767375</v>
      </c>
      <c r="CP18" s="232">
        <f t="shared" si="114"/>
        <v>1.1465525310767375</v>
      </c>
      <c r="CQ18" s="232">
        <f t="shared" si="115"/>
        <v>1.3203269122940371</v>
      </c>
      <c r="CR18" s="232">
        <f t="shared" si="116"/>
        <v>2.7709986187043736</v>
      </c>
      <c r="CS18" s="232">
        <f t="shared" si="117"/>
        <v>1.200855999999999</v>
      </c>
      <c r="CT18" s="232">
        <f t="shared" si="118"/>
        <v>1.1835903092197924</v>
      </c>
      <c r="CU18" s="232">
        <f t="shared" si="119"/>
        <v>1.4227449060429966</v>
      </c>
      <c r="CV18" s="232">
        <f t="shared" si="120"/>
        <v>0.48776641158369627</v>
      </c>
      <c r="CW18" s="232">
        <f t="shared" si="7"/>
        <v>34.283476223456994</v>
      </c>
      <c r="CY18" s="229">
        <f t="shared" si="8"/>
        <v>0.78319229481036168</v>
      </c>
      <c r="CZ18" s="229">
        <f t="shared" si="9"/>
        <v>0.44741703958876833</v>
      </c>
      <c r="DA18" s="229">
        <f t="shared" si="10"/>
        <v>0.47146045630316374</v>
      </c>
      <c r="DB18" s="229">
        <f t="shared" si="11"/>
        <v>0.88956380876357366</v>
      </c>
      <c r="DC18" s="229">
        <f t="shared" si="12"/>
        <v>0.58110895238095306</v>
      </c>
      <c r="DD18" s="229">
        <f t="shared" si="13"/>
        <v>0.38716547566727777</v>
      </c>
      <c r="DE18" s="229">
        <f t="shared" si="14"/>
        <v>0.77255294765196902</v>
      </c>
      <c r="DF18" s="229">
        <f t="shared" si="15"/>
        <v>0.61892299645229543</v>
      </c>
      <c r="DG18" s="229">
        <f t="shared" si="16"/>
        <v>0.19584601005787211</v>
      </c>
      <c r="DH18" s="229">
        <f t="shared" si="17"/>
        <v>31.643033330555408</v>
      </c>
      <c r="DJ18" s="234">
        <f t="shared" si="121"/>
        <v>8.1857843426795862E-2</v>
      </c>
      <c r="DK18" s="234">
        <f t="shared" si="122"/>
        <v>0.11061870733350793</v>
      </c>
      <c r="DL18" s="234">
        <f t="shared" si="123"/>
        <v>8.9753465426017559E-2</v>
      </c>
      <c r="DM18" s="234">
        <f t="shared" si="18"/>
        <v>9.4076672062107125E-2</v>
      </c>
      <c r="DN18" s="234">
        <f t="shared" si="19"/>
        <v>1.4859825365018455E-2</v>
      </c>
      <c r="DO18" s="234">
        <f t="shared" si="20"/>
        <v>15.79544114316497</v>
      </c>
      <c r="DQ18" s="229">
        <f t="shared" si="124"/>
        <v>2.7212943679874884</v>
      </c>
      <c r="DR18" s="229">
        <f t="shared" si="125"/>
        <v>1.964707098508307</v>
      </c>
      <c r="DS18" s="229">
        <f t="shared" si="126"/>
        <v>2.4306750780261583</v>
      </c>
      <c r="DT18" s="229">
        <f t="shared" si="127"/>
        <v>2.0922505683960662</v>
      </c>
      <c r="DU18" s="229">
        <f t="shared" si="128"/>
        <v>1.964707098508307</v>
      </c>
      <c r="DV18" s="229">
        <f t="shared" si="129"/>
        <v>1.7670332012800023</v>
      </c>
      <c r="DW18" s="229">
        <f t="shared" si="130"/>
        <v>0.41712186880000018</v>
      </c>
      <c r="DX18" s="229">
        <f t="shared" si="131"/>
        <v>1.8548191932252889</v>
      </c>
      <c r="DY18" s="229">
        <f t="shared" si="21"/>
        <v>1.9015760593414526</v>
      </c>
      <c r="DZ18" s="229">
        <f t="shared" si="22"/>
        <v>0.67824394375884356</v>
      </c>
      <c r="EA18" s="229">
        <f t="shared" si="23"/>
        <v>35.667463335320427</v>
      </c>
      <c r="EC18" s="235">
        <f t="shared" si="132"/>
        <v>0.15552585940137262</v>
      </c>
      <c r="ED18" s="235">
        <f t="shared" si="133"/>
        <v>0.11366939567362412</v>
      </c>
      <c r="EE18" s="235">
        <f t="shared" si="134"/>
        <v>0.12168057806685872</v>
      </c>
      <c r="EF18" s="235">
        <f t="shared" si="135"/>
        <v>0.1150811478189105</v>
      </c>
      <c r="EG18" s="235">
        <f t="shared" si="136"/>
        <v>0.12648924524019151</v>
      </c>
      <c r="EH18" s="235">
        <f t="shared" si="137"/>
        <v>1.9670125161540736E-2</v>
      </c>
      <c r="EI18" s="235">
        <f t="shared" si="24"/>
        <v>15.550828154748626</v>
      </c>
      <c r="EK18" s="236">
        <f t="shared" si="138"/>
        <v>14.427442794759825</v>
      </c>
      <c r="EL18" s="236">
        <f t="shared" si="139"/>
        <v>17.349872879693752</v>
      </c>
      <c r="EM18" s="236">
        <f t="shared" si="140"/>
        <v>17.349872879693752</v>
      </c>
      <c r="EN18" s="236">
        <f t="shared" si="141"/>
        <v>11.442605085269618</v>
      </c>
      <c r="EO18" s="236">
        <f t="shared" si="142"/>
        <v>16.259469499880964</v>
      </c>
      <c r="EP18" s="236">
        <f t="shared" si="143"/>
        <v>17.349872879693752</v>
      </c>
      <c r="EQ18" s="236">
        <f t="shared" si="144"/>
        <v>15.331707224477556</v>
      </c>
      <c r="ER18" s="236">
        <f t="shared" si="145"/>
        <v>15.644406177638459</v>
      </c>
      <c r="ES18" s="236">
        <f t="shared" si="146"/>
        <v>2.1732489440249623</v>
      </c>
      <c r="ET18" s="236">
        <f t="shared" si="25"/>
        <v>13.891540013396767</v>
      </c>
      <c r="EV18" s="238">
        <f t="shared" si="147"/>
        <v>1.1061870733394437E-2</v>
      </c>
      <c r="EW18" s="238">
        <f t="shared" si="148"/>
        <v>1.1061870733394437E-2</v>
      </c>
      <c r="EX18" s="238" t="e">
        <f t="shared" si="149"/>
        <v>#DIV/0!</v>
      </c>
      <c r="EY18" s="238" t="e">
        <f t="shared" si="26"/>
        <v>#DIV/0!</v>
      </c>
      <c r="FA18" s="240">
        <f t="shared" si="150"/>
        <v>0.34291799273387458</v>
      </c>
      <c r="FB18" s="240">
        <f t="shared" si="151"/>
        <v>6.9971132867555297E-2</v>
      </c>
      <c r="FC18" s="240">
        <f t="shared" si="152"/>
        <v>0.20644456280071494</v>
      </c>
      <c r="FD18" s="240">
        <f t="shared" si="153"/>
        <v>0.19300257551504865</v>
      </c>
      <c r="FE18" s="240">
        <f t="shared" si="27"/>
        <v>93.488815058480327</v>
      </c>
      <c r="FG18" s="236">
        <f t="shared" si="154"/>
        <v>0.94007794886787999</v>
      </c>
      <c r="FH18" s="236">
        <f t="shared" si="155"/>
        <v>1.0654772469831646</v>
      </c>
      <c r="FI18" s="236">
        <f t="shared" si="156"/>
        <v>0.91260433550144049</v>
      </c>
      <c r="FJ18" s="236">
        <f t="shared" si="157"/>
        <v>0.58647019230769259</v>
      </c>
      <c r="FK18" s="236">
        <f t="shared" si="158"/>
        <v>0.90147830591783629</v>
      </c>
      <c r="FL18" s="236">
        <f t="shared" si="159"/>
        <v>0.58536069999999951</v>
      </c>
      <c r="FM18" s="236">
        <f t="shared" si="160"/>
        <v>0.83191145492966889</v>
      </c>
      <c r="FN18" s="236">
        <f t="shared" si="161"/>
        <v>0.19931510003695238</v>
      </c>
      <c r="FO18" s="236">
        <f t="shared" si="28"/>
        <v>23.958691619867501</v>
      </c>
      <c r="FQ18" s="227">
        <f t="shared" si="162"/>
        <v>0.25720652235189845</v>
      </c>
      <c r="FR18" s="227">
        <f t="shared" si="163"/>
        <v>0.26939706900057975</v>
      </c>
      <c r="FS18" s="227">
        <f t="shared" si="164"/>
        <v>0.26939706900057975</v>
      </c>
      <c r="FT18" s="227">
        <f t="shared" si="165"/>
        <v>0.21275478058252445</v>
      </c>
      <c r="FU18" s="227">
        <f t="shared" si="166"/>
        <v>0.23047407672936376</v>
      </c>
      <c r="FV18" s="227">
        <f t="shared" si="29"/>
        <v>0.24784590353298927</v>
      </c>
      <c r="FW18" s="227">
        <f t="shared" si="30"/>
        <v>2.5247247013860965E-2</v>
      </c>
      <c r="FX18" s="227">
        <f t="shared" si="31"/>
        <v>10.186671094404614</v>
      </c>
      <c r="FZ18" s="230">
        <f t="shared" si="167"/>
        <v>1.1614964270018333</v>
      </c>
      <c r="GA18" s="230">
        <f t="shared" si="168"/>
        <v>2.1214103583999986</v>
      </c>
      <c r="GB18" s="230">
        <f t="shared" si="169"/>
        <v>2.2318479042452828</v>
      </c>
      <c r="GC18" s="230">
        <f t="shared" si="170"/>
        <v>1.8382515632157048</v>
      </c>
      <c r="GD18" s="230">
        <f t="shared" si="171"/>
        <v>0.58868263833493029</v>
      </c>
      <c r="GE18" s="230">
        <f t="shared" si="32"/>
        <v>32.024052100090763</v>
      </c>
      <c r="GG18" s="231">
        <f t="shared" si="172"/>
        <v>7.7433095133455546E-2</v>
      </c>
      <c r="GH18" s="231">
        <f t="shared" si="173"/>
        <v>4.1072939240956778E-2</v>
      </c>
      <c r="GI18" s="231">
        <f t="shared" si="174"/>
        <v>2.436904761904762E-2</v>
      </c>
      <c r="GJ18" s="231">
        <f t="shared" si="175"/>
        <v>3.1757712740179259E-2</v>
      </c>
      <c r="GK18" s="245">
        <f t="shared" si="186"/>
        <v>3.2399899866727887E-2</v>
      </c>
      <c r="GL18" s="231">
        <f t="shared" si="187"/>
        <v>8.3704421662329446E-3</v>
      </c>
      <c r="GM18" s="231">
        <f t="shared" si="33"/>
        <v>25.834777887164773</v>
      </c>
      <c r="GO18" s="246">
        <f t="shared" si="176"/>
        <v>0.12104576923076929</v>
      </c>
      <c r="GP18" s="246">
        <f t="shared" si="177"/>
        <v>0.12721151343353412</v>
      </c>
      <c r="GQ18" s="247">
        <f t="shared" si="188"/>
        <v>0.12412864133215171</v>
      </c>
      <c r="GR18" s="246">
        <f t="shared" si="189"/>
        <v>4.3598395368366575E-3</v>
      </c>
      <c r="GS18" s="246">
        <f t="shared" si="34"/>
        <v>3.5123558028564159</v>
      </c>
      <c r="GU18" s="249">
        <f t="shared" si="178"/>
        <v>1.5669139893791397E-2</v>
      </c>
      <c r="GV18" s="249">
        <f t="shared" si="179"/>
        <v>1.5669139893791397E-2</v>
      </c>
      <c r="GW18" s="249" t="e">
        <f t="shared" si="180"/>
        <v>#DIV/0!</v>
      </c>
      <c r="GX18" s="249" t="e">
        <f t="shared" si="35"/>
        <v>#DIV/0!</v>
      </c>
      <c r="GZ18" s="240">
        <f t="shared" si="181"/>
        <v>1.659280610002619E-2</v>
      </c>
      <c r="HA18" s="240">
        <f t="shared" si="182"/>
        <v>1.659280610002619E-2</v>
      </c>
      <c r="HB18" s="240" t="e">
        <f t="shared" si="183"/>
        <v>#DIV/0!</v>
      </c>
      <c r="HC18" s="240" t="e">
        <f t="shared" si="36"/>
        <v>#DIV/0!</v>
      </c>
      <c r="HE18" s="234">
        <f t="shared" si="184"/>
        <v>6.5387930863437208E-2</v>
      </c>
      <c r="HF18" s="234">
        <f t="shared" si="185"/>
        <v>6.5387930863437208E-2</v>
      </c>
      <c r="HG18" s="251">
        <f t="shared" si="190"/>
        <v>6.5387930863437208E-2</v>
      </c>
      <c r="HH18" s="234">
        <f t="shared" si="191"/>
        <v>0</v>
      </c>
      <c r="HI18" s="234">
        <f t="shared" si="37"/>
        <v>0</v>
      </c>
    </row>
    <row r="19" spans="2:217" ht="15.6" x14ac:dyDescent="0.25">
      <c r="B19">
        <v>15</v>
      </c>
      <c r="C19" s="124">
        <f t="shared" si="38"/>
        <v>59.557277307625419</v>
      </c>
      <c r="D19" s="124">
        <f t="shared" si="39"/>
        <v>166.347767838528</v>
      </c>
      <c r="E19" s="29">
        <f t="shared" si="40"/>
        <v>1.8698085965340443</v>
      </c>
      <c r="F19" s="29">
        <f t="shared" si="41"/>
        <v>1.668892900309886</v>
      </c>
      <c r="G19" s="29">
        <f t="shared" si="42"/>
        <v>1.6632247443716757</v>
      </c>
      <c r="H19" s="29">
        <f t="shared" si="43"/>
        <v>1.6681827331182648</v>
      </c>
      <c r="I19" s="29">
        <f t="shared" si="44"/>
        <v>1.6872869125982848</v>
      </c>
      <c r="J19" s="29">
        <f t="shared" si="45"/>
        <v>1.6681827331182648</v>
      </c>
      <c r="K19" s="29">
        <f t="shared" si="46"/>
        <v>1.6594011247475275</v>
      </c>
      <c r="L19" s="125">
        <f t="shared" si="0"/>
        <v>1.6978542492568496</v>
      </c>
      <c r="M19" s="126">
        <f t="shared" si="1"/>
        <v>7.6329733194712104E-2</v>
      </c>
      <c r="N19" s="126">
        <f t="shared" si="47"/>
        <v>4.4956587544614983</v>
      </c>
      <c r="P19" s="138">
        <f t="shared" si="48"/>
        <v>356.54939234393839</v>
      </c>
      <c r="Q19" s="138">
        <f t="shared" si="49"/>
        <v>416.53399999999999</v>
      </c>
      <c r="R19" s="138">
        <f t="shared" si="50"/>
        <v>356.54939234393839</v>
      </c>
      <c r="S19" s="138">
        <f t="shared" si="51"/>
        <v>368.21363185701148</v>
      </c>
      <c r="T19" s="138">
        <f t="shared" si="52"/>
        <v>366.93602884553218</v>
      </c>
      <c r="U19" s="138">
        <f t="shared" si="53"/>
        <v>356.54939234393839</v>
      </c>
      <c r="V19" s="138">
        <f t="shared" si="54"/>
        <v>364.83715938042684</v>
      </c>
      <c r="W19" s="138">
        <f t="shared" si="55"/>
        <v>369.4527138735408</v>
      </c>
      <c r="X19" s="138">
        <f t="shared" si="56"/>
        <v>21.390445662581907</v>
      </c>
      <c r="Y19" s="138">
        <f t="shared" si="57"/>
        <v>5.7897654718280398</v>
      </c>
      <c r="AA19" s="227">
        <f t="shared" si="58"/>
        <v>0.41467865625</v>
      </c>
      <c r="AB19" s="227">
        <f t="shared" si="59"/>
        <v>0.39275862068965517</v>
      </c>
      <c r="AC19" s="227">
        <f t="shared" si="60"/>
        <v>0.45231767303558268</v>
      </c>
      <c r="AD19" s="227">
        <f t="shared" si="61"/>
        <v>0.41467865625</v>
      </c>
      <c r="AE19" s="227">
        <f t="shared" si="62"/>
        <v>0.41860840155630946</v>
      </c>
      <c r="AF19" s="227">
        <f t="shared" si="63"/>
        <v>2.4734671690175528E-2</v>
      </c>
      <c r="AG19" s="227">
        <f t="shared" si="64"/>
        <v>5.9087852986744993</v>
      </c>
      <c r="AI19" s="228">
        <f t="shared" si="65"/>
        <v>3.6699966717890891</v>
      </c>
      <c r="AJ19" s="228">
        <f t="shared" si="66"/>
        <v>3.6699966717890891</v>
      </c>
      <c r="AK19" s="228">
        <f t="shared" si="67"/>
        <v>3.6699966717890891</v>
      </c>
      <c r="AL19" s="228">
        <f t="shared" si="68"/>
        <v>5.3410464384058738</v>
      </c>
      <c r="AM19" s="228">
        <f t="shared" si="69"/>
        <v>3.1120800000000006</v>
      </c>
      <c r="AN19" s="228">
        <f t="shared" si="70"/>
        <v>3.8712230249956523</v>
      </c>
      <c r="AO19" s="228">
        <f t="shared" si="71"/>
        <v>3.826690851908698</v>
      </c>
      <c r="AP19" s="228">
        <f t="shared" si="72"/>
        <v>3.8801471900967841</v>
      </c>
      <c r="AQ19" s="228">
        <f t="shared" si="73"/>
        <v>0.69035990179802598</v>
      </c>
      <c r="AR19" s="228">
        <f t="shared" si="74"/>
        <v>17.792106020101933</v>
      </c>
      <c r="AT19" s="229">
        <f t="shared" si="75"/>
        <v>1.3577127659574468</v>
      </c>
      <c r="AU19" s="229">
        <f t="shared" si="76"/>
        <v>1.2210346266974441</v>
      </c>
      <c r="AV19" s="229">
        <f t="shared" si="77"/>
        <v>1.3336476725885829</v>
      </c>
      <c r="AW19" s="229">
        <f t="shared" si="78"/>
        <v>1.3577127659574468</v>
      </c>
      <c r="AX19" s="229">
        <f t="shared" si="79"/>
        <v>0.36951849906487721</v>
      </c>
      <c r="AY19" s="229">
        <f t="shared" si="80"/>
        <v>1.2770168831931294</v>
      </c>
      <c r="AZ19" s="229">
        <f t="shared" si="81"/>
        <v>1.299823667717708</v>
      </c>
      <c r="BA19" s="229">
        <f t="shared" si="82"/>
        <v>1.3012556448010226</v>
      </c>
      <c r="BB19" s="229">
        <f t="shared" si="83"/>
        <v>1.1897153157472073</v>
      </c>
      <c r="BC19" s="229">
        <f t="shared" si="84"/>
        <v>0.33446186737419376</v>
      </c>
      <c r="BD19" s="229">
        <f t="shared" si="85"/>
        <v>28.112764704901956</v>
      </c>
      <c r="BF19" s="230">
        <f t="shared" si="86"/>
        <v>16.079895126697444</v>
      </c>
      <c r="BG19" s="230">
        <f t="shared" si="87"/>
        <v>4.8988243750000011</v>
      </c>
      <c r="BH19" s="230">
        <f t="shared" si="88"/>
        <v>6.4284103783101703</v>
      </c>
      <c r="BI19" s="230">
        <f t="shared" si="2"/>
        <v>9.1357099600025382</v>
      </c>
      <c r="BJ19" s="230">
        <f t="shared" si="3"/>
        <v>6.0622758974983784</v>
      </c>
      <c r="BK19" s="230">
        <f t="shared" si="89"/>
        <v>66.358016224682046</v>
      </c>
      <c r="BM19" s="227">
        <f t="shared" si="90"/>
        <v>24.494909100802381</v>
      </c>
      <c r="BN19" s="227">
        <f t="shared" si="91"/>
        <v>17.691412870249064</v>
      </c>
      <c r="BO19" s="227">
        <f t="shared" si="92"/>
        <v>19.996624263795205</v>
      </c>
      <c r="BP19" s="227">
        <f t="shared" si="93"/>
        <v>17.691412870249064</v>
      </c>
      <c r="BQ19" s="227">
        <f t="shared" si="94"/>
        <v>14.398372596153777</v>
      </c>
      <c r="BR19" s="227">
        <f t="shared" si="95"/>
        <v>17.341637941117387</v>
      </c>
      <c r="BS19" s="227">
        <f t="shared" si="96"/>
        <v>19.110025903326999</v>
      </c>
      <c r="BT19" s="227">
        <f t="shared" si="4"/>
        <v>18.674913649384841</v>
      </c>
      <c r="BU19" s="227">
        <f t="shared" si="5"/>
        <v>3.1040179266998598</v>
      </c>
      <c r="BV19" s="227">
        <f t="shared" si="97"/>
        <v>16.621324119493895</v>
      </c>
      <c r="BX19" s="231">
        <f t="shared" si="98"/>
        <v>0.27817974961779379</v>
      </c>
      <c r="BY19" s="231">
        <f t="shared" si="99"/>
        <v>0.24906747926572664</v>
      </c>
      <c r="BZ19" s="231">
        <f t="shared" si="100"/>
        <v>0.26543441005722335</v>
      </c>
      <c r="CA19" s="231">
        <f t="shared" si="101"/>
        <v>0.21886583333333329</v>
      </c>
      <c r="CB19" s="231">
        <f t="shared" si="102"/>
        <v>0.27935172856208207</v>
      </c>
      <c r="CC19" s="231">
        <f t="shared" si="103"/>
        <v>0.26376016765236554</v>
      </c>
      <c r="CD19" s="231">
        <f t="shared" si="104"/>
        <v>0.40233709725879563</v>
      </c>
      <c r="CE19" s="231">
        <f t="shared" si="105"/>
        <v>0.42165493434365869</v>
      </c>
      <c r="CF19" s="231">
        <f t="shared" si="106"/>
        <v>0.29733142501137239</v>
      </c>
      <c r="CG19" s="231">
        <f t="shared" si="107"/>
        <v>7.3487888945430138E-2</v>
      </c>
      <c r="CH19" s="231">
        <f t="shared" si="6"/>
        <v>24.715816346226894</v>
      </c>
      <c r="CJ19" s="232">
        <f t="shared" si="108"/>
        <v>1.2146753942185682</v>
      </c>
      <c r="CK19" s="232">
        <f t="shared" si="109"/>
        <v>1.2146753942185682</v>
      </c>
      <c r="CL19" s="232">
        <f t="shared" si="110"/>
        <v>1.8698848879995236</v>
      </c>
      <c r="CM19" s="232">
        <f t="shared" si="111"/>
        <v>1.5281253527640777</v>
      </c>
      <c r="CN19" s="232">
        <f t="shared" si="112"/>
        <v>1.4661111720004201</v>
      </c>
      <c r="CO19" s="232">
        <f t="shared" si="113"/>
        <v>1.2146753942185682</v>
      </c>
      <c r="CP19" s="232">
        <f t="shared" si="114"/>
        <v>1.2146753942185682</v>
      </c>
      <c r="CQ19" s="232">
        <f t="shared" si="115"/>
        <v>1.4139219228189785</v>
      </c>
      <c r="CR19" s="232">
        <f t="shared" si="116"/>
        <v>2.9838195931120333</v>
      </c>
      <c r="CS19" s="232">
        <f t="shared" si="117"/>
        <v>1.2650357142857134</v>
      </c>
      <c r="CT19" s="232">
        <f t="shared" si="118"/>
        <v>1.2327669533664374</v>
      </c>
      <c r="CU19" s="232">
        <f t="shared" si="119"/>
        <v>1.5107606521110413</v>
      </c>
      <c r="CV19" s="232">
        <f t="shared" si="120"/>
        <v>0.52904374774069995</v>
      </c>
      <c r="CW19" s="232">
        <f t="shared" si="7"/>
        <v>35.018369521435957</v>
      </c>
      <c r="CY19" s="229">
        <f t="shared" si="8"/>
        <v>0.83898115738997392</v>
      </c>
      <c r="CZ19" s="229">
        <f t="shared" si="9"/>
        <v>0.4907719639996001</v>
      </c>
      <c r="DA19" s="229">
        <f t="shared" si="10"/>
        <v>0.48748353324407501</v>
      </c>
      <c r="DB19" s="229">
        <f t="shared" si="11"/>
        <v>0.94637370566830148</v>
      </c>
      <c r="DC19" s="229">
        <f t="shared" si="12"/>
        <v>0.58056523809524074</v>
      </c>
      <c r="DD19" s="229">
        <f t="shared" si="13"/>
        <v>0.41690094115337795</v>
      </c>
      <c r="DE19" s="229">
        <f t="shared" si="14"/>
        <v>0.81904692641934962</v>
      </c>
      <c r="DF19" s="229">
        <f t="shared" si="15"/>
        <v>0.65430335228141701</v>
      </c>
      <c r="DG19" s="229">
        <f t="shared" si="16"/>
        <v>0.20933227554821518</v>
      </c>
      <c r="DH19" s="229">
        <f t="shared" si="17"/>
        <v>31.993153453718055</v>
      </c>
      <c r="DJ19" s="234">
        <f t="shared" si="121"/>
        <v>8.8144770415285623E-2</v>
      </c>
      <c r="DK19" s="234">
        <f t="shared" si="122"/>
        <v>0.11911455461525085</v>
      </c>
      <c r="DL19" s="234">
        <f t="shared" si="123"/>
        <v>9.5295619244588375E-2</v>
      </c>
      <c r="DM19" s="234">
        <f t="shared" si="18"/>
        <v>0.10085164809170828</v>
      </c>
      <c r="DN19" s="234">
        <f t="shared" si="19"/>
        <v>1.6215238997949584E-2</v>
      </c>
      <c r="DO19" s="234">
        <f t="shared" si="20"/>
        <v>16.07830839135563</v>
      </c>
      <c r="DQ19" s="229">
        <f t="shared" si="124"/>
        <v>2.9149089992524928</v>
      </c>
      <c r="DR19" s="229">
        <f t="shared" si="125"/>
        <v>2.2575342035340702</v>
      </c>
      <c r="DS19" s="229">
        <f t="shared" si="126"/>
        <v>2.546781373885274</v>
      </c>
      <c r="DT19" s="229">
        <f t="shared" si="127"/>
        <v>2.1787959607845049</v>
      </c>
      <c r="DU19" s="229">
        <f t="shared" si="128"/>
        <v>2.2575342035340702</v>
      </c>
      <c r="DV19" s="229">
        <f t="shared" si="129"/>
        <v>1.8112051875000019</v>
      </c>
      <c r="DW19" s="229">
        <f t="shared" si="130"/>
        <v>0.4690098750000003</v>
      </c>
      <c r="DX19" s="229">
        <f t="shared" si="131"/>
        <v>2.1058729933082105</v>
      </c>
      <c r="DY19" s="229">
        <f t="shared" si="21"/>
        <v>2.0677053495998283</v>
      </c>
      <c r="DZ19" s="229">
        <f t="shared" si="22"/>
        <v>0.72257034212047966</v>
      </c>
      <c r="EA19" s="229">
        <f t="shared" si="23"/>
        <v>34.945517854384896</v>
      </c>
      <c r="EC19" s="235">
        <f t="shared" si="132"/>
        <v>0.16606152930853485</v>
      </c>
      <c r="ED19" s="235">
        <f t="shared" si="133"/>
        <v>0.12068436907020874</v>
      </c>
      <c r="EE19" s="235">
        <f t="shared" si="134"/>
        <v>0.13102601007677592</v>
      </c>
      <c r="EF19" s="235">
        <f t="shared" si="135"/>
        <v>0.12157503772966473</v>
      </c>
      <c r="EG19" s="235">
        <f t="shared" si="136"/>
        <v>0.13483673654629605</v>
      </c>
      <c r="EH19" s="235">
        <f t="shared" si="137"/>
        <v>2.1335974940239016E-2</v>
      </c>
      <c r="EI19" s="235">
        <f t="shared" si="24"/>
        <v>15.82356224775088</v>
      </c>
      <c r="EK19" s="236">
        <f t="shared" si="138"/>
        <v>16.317600982532753</v>
      </c>
      <c r="EL19" s="236">
        <f t="shared" si="139"/>
        <v>19.001406922620816</v>
      </c>
      <c r="EM19" s="236">
        <f t="shared" si="140"/>
        <v>19.001406922620816</v>
      </c>
      <c r="EN19" s="236">
        <f t="shared" si="141"/>
        <v>11.969365730923927</v>
      </c>
      <c r="EO19" s="236">
        <f t="shared" si="142"/>
        <v>18.037038773795679</v>
      </c>
      <c r="EP19" s="236">
        <f t="shared" si="143"/>
        <v>19.001406922620816</v>
      </c>
      <c r="EQ19" s="236">
        <f t="shared" si="144"/>
        <v>17.782927885002206</v>
      </c>
      <c r="ER19" s="236">
        <f t="shared" si="145"/>
        <v>17.301593448588143</v>
      </c>
      <c r="ES19" s="236">
        <f t="shared" si="146"/>
        <v>2.5443255102232563</v>
      </c>
      <c r="ET19" s="236">
        <f t="shared" si="25"/>
        <v>14.705729375642452</v>
      </c>
      <c r="EV19" s="238">
        <f t="shared" si="147"/>
        <v>1.191145546153132E-2</v>
      </c>
      <c r="EW19" s="238">
        <f t="shared" si="148"/>
        <v>1.191145546153132E-2</v>
      </c>
      <c r="EX19" s="238" t="e">
        <f t="shared" si="149"/>
        <v>#DIV/0!</v>
      </c>
      <c r="EY19" s="238" t="e">
        <f t="shared" si="26"/>
        <v>#DIV/0!</v>
      </c>
      <c r="FA19" s="240">
        <f t="shared" si="150"/>
        <v>0.36925511930727761</v>
      </c>
      <c r="FB19" s="240">
        <f t="shared" si="151"/>
        <v>0.27277931003965766</v>
      </c>
      <c r="FC19" s="240">
        <f t="shared" si="152"/>
        <v>0.32101721467346767</v>
      </c>
      <c r="FD19" s="240">
        <f t="shared" si="153"/>
        <v>6.821869895359356E-2</v>
      </c>
      <c r="FE19" s="240">
        <f t="shared" si="27"/>
        <v>21.250791495086723</v>
      </c>
      <c r="FG19" s="236">
        <f t="shared" si="154"/>
        <v>1.0081852757809895</v>
      </c>
      <c r="FH19" s="236">
        <f t="shared" si="155"/>
        <v>1.1364754980967573</v>
      </c>
      <c r="FI19" s="236">
        <f t="shared" si="156"/>
        <v>0.98269507557581948</v>
      </c>
      <c r="FJ19" s="236">
        <f t="shared" si="157"/>
        <v>0.67073701923076934</v>
      </c>
      <c r="FK19" s="236">
        <f t="shared" si="158"/>
        <v>0.95291643692200678</v>
      </c>
      <c r="FL19" s="236">
        <f t="shared" si="159"/>
        <v>0.67083112980769188</v>
      </c>
      <c r="FM19" s="236">
        <f t="shared" si="160"/>
        <v>0.9036400725690058</v>
      </c>
      <c r="FN19" s="236">
        <f t="shared" si="161"/>
        <v>0.19092601947534207</v>
      </c>
      <c r="FO19" s="236">
        <f t="shared" si="28"/>
        <v>21.12854722484235</v>
      </c>
      <c r="FQ19" s="227">
        <f t="shared" si="162"/>
        <v>0.27263470869971523</v>
      </c>
      <c r="FR19" s="227">
        <f t="shared" si="163"/>
        <v>0.28563075060954157</v>
      </c>
      <c r="FS19" s="227">
        <f t="shared" si="164"/>
        <v>0.28563075060954157</v>
      </c>
      <c r="FT19" s="227">
        <f t="shared" si="165"/>
        <v>0.22430309466019441</v>
      </c>
      <c r="FU19" s="227">
        <f t="shared" si="166"/>
        <v>0.24817517454087509</v>
      </c>
      <c r="FV19" s="227">
        <f t="shared" si="29"/>
        <v>0.26327489582397356</v>
      </c>
      <c r="FW19" s="227">
        <f t="shared" si="30"/>
        <v>2.6617557420958553E-2</v>
      </c>
      <c r="FX19" s="227">
        <f t="shared" si="31"/>
        <v>10.11017679359567</v>
      </c>
      <c r="FZ19" s="230">
        <f t="shared" si="167"/>
        <v>1.2507028234601338</v>
      </c>
      <c r="GA19" s="230">
        <f t="shared" si="168"/>
        <v>2.2831642500000005</v>
      </c>
      <c r="GB19" s="230">
        <f t="shared" si="169"/>
        <v>2.4384598119008722</v>
      </c>
      <c r="GC19" s="230">
        <f t="shared" si="170"/>
        <v>1.9907756284536688</v>
      </c>
      <c r="GD19" s="230">
        <f t="shared" si="171"/>
        <v>0.64560823678510737</v>
      </c>
      <c r="GE19" s="230">
        <f t="shared" si="32"/>
        <v>32.429984954486422</v>
      </c>
      <c r="GG19" s="231">
        <f t="shared" si="172"/>
        <v>8.3380188230675584E-2</v>
      </c>
      <c r="GH19" s="231">
        <f t="shared" si="173"/>
        <v>4.40050733835664E-2</v>
      </c>
      <c r="GI19" s="231">
        <f t="shared" si="174"/>
        <v>2.8373333333333334E-2</v>
      </c>
      <c r="GJ19" s="231">
        <f t="shared" si="175"/>
        <v>4.0675238110015853E-2</v>
      </c>
      <c r="GK19" s="245">
        <f t="shared" si="186"/>
        <v>3.7684548275638531E-2</v>
      </c>
      <c r="GL19" s="231">
        <f t="shared" si="187"/>
        <v>8.2338322495421681E-3</v>
      </c>
      <c r="GM19" s="231">
        <f t="shared" si="33"/>
        <v>21.84935902459787</v>
      </c>
      <c r="GO19" s="246">
        <f t="shared" si="176"/>
        <v>0.13128846153846152</v>
      </c>
      <c r="GP19" s="246">
        <f t="shared" si="177"/>
        <v>0.13698173780753847</v>
      </c>
      <c r="GQ19" s="247">
        <f t="shared" si="188"/>
        <v>0.134135099673</v>
      </c>
      <c r="GR19" s="246">
        <f t="shared" si="189"/>
        <v>4.02575425703276E-3</v>
      </c>
      <c r="GS19" s="246">
        <f t="shared" si="34"/>
        <v>3.0012683233895587</v>
      </c>
      <c r="GU19" s="249">
        <f t="shared" si="178"/>
        <v>1.687257666125028E-2</v>
      </c>
      <c r="GV19" s="249">
        <f t="shared" si="179"/>
        <v>1.687257666125028E-2</v>
      </c>
      <c r="GW19" s="249" t="e">
        <f t="shared" si="180"/>
        <v>#DIV/0!</v>
      </c>
      <c r="GX19" s="249" t="e">
        <f t="shared" si="35"/>
        <v>#DIV/0!</v>
      </c>
      <c r="GZ19" s="240">
        <f t="shared" si="181"/>
        <v>1.7867183192287629E-2</v>
      </c>
      <c r="HA19" s="240">
        <f t="shared" si="182"/>
        <v>1.7867183192287629E-2</v>
      </c>
      <c r="HB19" s="240" t="e">
        <f t="shared" si="183"/>
        <v>#DIV/0!</v>
      </c>
      <c r="HC19" s="240" t="e">
        <f t="shared" si="36"/>
        <v>#DIV/0!</v>
      </c>
      <c r="HE19" s="234">
        <f t="shared" si="184"/>
        <v>7.0442959996074236E-2</v>
      </c>
      <c r="HF19" s="234">
        <f t="shared" si="185"/>
        <v>7.0442959996074236E-2</v>
      </c>
      <c r="HG19" s="251">
        <f t="shared" si="190"/>
        <v>7.0442959996074236E-2</v>
      </c>
      <c r="HH19" s="234">
        <f t="shared" si="191"/>
        <v>0</v>
      </c>
      <c r="HI19" s="234">
        <f t="shared" si="37"/>
        <v>0</v>
      </c>
    </row>
    <row r="20" spans="2:217" ht="15.6" x14ac:dyDescent="0.25">
      <c r="B20">
        <v>16</v>
      </c>
      <c r="C20" s="124">
        <f t="shared" si="38"/>
        <v>63.36371465888864</v>
      </c>
      <c r="D20" s="124">
        <f t="shared" si="39"/>
        <v>169.47575737125194</v>
      </c>
      <c r="E20" s="29">
        <f t="shared" si="40"/>
        <v>1.9377810327302609</v>
      </c>
      <c r="F20" s="29">
        <f t="shared" si="41"/>
        <v>1.7365975608699442</v>
      </c>
      <c r="G20" s="29">
        <f t="shared" si="42"/>
        <v>1.7308187417280878</v>
      </c>
      <c r="H20" s="29">
        <f t="shared" si="43"/>
        <v>1.7358585831844673</v>
      </c>
      <c r="I20" s="29">
        <f t="shared" si="44"/>
        <v>1.7562163065189444</v>
      </c>
      <c r="J20" s="29">
        <f t="shared" si="45"/>
        <v>1.7358585831844675</v>
      </c>
      <c r="K20" s="29">
        <f t="shared" si="46"/>
        <v>1.7283370196490941</v>
      </c>
      <c r="L20" s="125">
        <f t="shared" si="0"/>
        <v>1.7659239754093239</v>
      </c>
      <c r="M20" s="126">
        <f t="shared" si="1"/>
        <v>7.6313102708990069E-2</v>
      </c>
      <c r="N20" s="126">
        <f t="shared" si="47"/>
        <v>4.321426277215668</v>
      </c>
      <c r="P20" s="138">
        <f t="shared" si="48"/>
        <v>370.84403483595804</v>
      </c>
      <c r="Q20" s="138">
        <f t="shared" si="49"/>
        <v>427.86359999999996</v>
      </c>
      <c r="R20" s="138">
        <f t="shared" si="50"/>
        <v>370.84403483595804</v>
      </c>
      <c r="S20" s="138">
        <f t="shared" si="51"/>
        <v>384.21801108874735</v>
      </c>
      <c r="T20" s="138">
        <f t="shared" si="52"/>
        <v>385.13876598413867</v>
      </c>
      <c r="U20" s="138">
        <f t="shared" si="53"/>
        <v>370.84403483595804</v>
      </c>
      <c r="V20" s="138">
        <f t="shared" si="54"/>
        <v>374.05017133063313</v>
      </c>
      <c r="W20" s="138">
        <f t="shared" si="55"/>
        <v>383.40037898734187</v>
      </c>
      <c r="X20" s="138">
        <f t="shared" si="56"/>
        <v>20.579440602179922</v>
      </c>
      <c r="Y20" s="138">
        <f t="shared" si="57"/>
        <v>5.3676109180005174</v>
      </c>
      <c r="AA20" s="227">
        <f t="shared" si="58"/>
        <v>0.41830147039999999</v>
      </c>
      <c r="AB20" s="227">
        <f t="shared" si="59"/>
        <v>0.39378099173553716</v>
      </c>
      <c r="AC20" s="227">
        <f t="shared" si="60"/>
        <v>0.4571389630318663</v>
      </c>
      <c r="AD20" s="227">
        <f t="shared" si="61"/>
        <v>0.41830147039999999</v>
      </c>
      <c r="AE20" s="227">
        <f t="shared" si="62"/>
        <v>0.42188072389185083</v>
      </c>
      <c r="AF20" s="227">
        <f t="shared" si="63"/>
        <v>2.6193895507852845E-2</v>
      </c>
      <c r="AG20" s="227">
        <f t="shared" si="64"/>
        <v>6.2088391397014036</v>
      </c>
      <c r="AI20" s="228">
        <f t="shared" si="65"/>
        <v>3.8485007353854344</v>
      </c>
      <c r="AJ20" s="228">
        <f t="shared" si="66"/>
        <v>3.8485007353854344</v>
      </c>
      <c r="AK20" s="228">
        <f t="shared" si="67"/>
        <v>3.8485007353854344</v>
      </c>
      <c r="AL20" s="228">
        <f t="shared" si="68"/>
        <v>5.6823201351643622</v>
      </c>
      <c r="AM20" s="228">
        <f t="shared" si="69"/>
        <v>3.3777512000000005</v>
      </c>
      <c r="AN20" s="228">
        <f t="shared" si="70"/>
        <v>4.1186414528277613</v>
      </c>
      <c r="AO20" s="228">
        <f t="shared" si="71"/>
        <v>3.9975073345177377</v>
      </c>
      <c r="AP20" s="228">
        <f t="shared" si="72"/>
        <v>4.1031031898094517</v>
      </c>
      <c r="AQ20" s="228">
        <f t="shared" si="73"/>
        <v>0.73324857327798953</v>
      </c>
      <c r="AR20" s="228">
        <f t="shared" si="74"/>
        <v>17.870585733722226</v>
      </c>
      <c r="AT20" s="229">
        <f t="shared" si="75"/>
        <v>1.3627631139325092</v>
      </c>
      <c r="AU20" s="229">
        <f t="shared" si="76"/>
        <v>1.178764914185179</v>
      </c>
      <c r="AV20" s="229">
        <f t="shared" si="77"/>
        <v>1.3455423348857536</v>
      </c>
      <c r="AW20" s="229">
        <f t="shared" si="78"/>
        <v>1.3627631139325092</v>
      </c>
      <c r="AX20" s="229">
        <f t="shared" si="79"/>
        <v>0.36863522005825289</v>
      </c>
      <c r="AY20" s="229">
        <f t="shared" si="80"/>
        <v>1.2802082922403248</v>
      </c>
      <c r="AZ20" s="229">
        <f t="shared" si="81"/>
        <v>1.2999005783215805</v>
      </c>
      <c r="BA20" s="229">
        <f t="shared" si="82"/>
        <v>1.2991885501026896</v>
      </c>
      <c r="BB20" s="229">
        <f t="shared" si="83"/>
        <v>1.1872207647073498</v>
      </c>
      <c r="BC20" s="229">
        <f t="shared" si="84"/>
        <v>0.33609733991432889</v>
      </c>
      <c r="BD20" s="229">
        <f t="shared" si="85"/>
        <v>28.309590760668424</v>
      </c>
      <c r="BF20" s="230">
        <f t="shared" si="86"/>
        <v>17.001885414185178</v>
      </c>
      <c r="BG20" s="230">
        <f t="shared" si="87"/>
        <v>5.4253351040000029</v>
      </c>
      <c r="BH20" s="230">
        <f t="shared" si="88"/>
        <v>6.5442219976544722</v>
      </c>
      <c r="BI20" s="230">
        <f t="shared" si="2"/>
        <v>9.6571475052798839</v>
      </c>
      <c r="BJ20" s="230">
        <f t="shared" si="3"/>
        <v>6.3852845029082959</v>
      </c>
      <c r="BK20" s="230">
        <f t="shared" si="89"/>
        <v>66.11977811685334</v>
      </c>
      <c r="BM20" s="227">
        <f t="shared" si="90"/>
        <v>26.552974770061354</v>
      </c>
      <c r="BN20" s="227">
        <f t="shared" si="91"/>
        <v>18.859003082306646</v>
      </c>
      <c r="BO20" s="227">
        <f t="shared" si="92"/>
        <v>20.716264787580613</v>
      </c>
      <c r="BP20" s="227">
        <f t="shared" si="93"/>
        <v>18.859003082306646</v>
      </c>
      <c r="BQ20" s="227">
        <f t="shared" si="94"/>
        <v>14.834698076923031</v>
      </c>
      <c r="BR20" s="227">
        <f t="shared" si="95"/>
        <v>18.459530333797812</v>
      </c>
      <c r="BS20" s="227">
        <f t="shared" si="96"/>
        <v>19.563030639028863</v>
      </c>
      <c r="BT20" s="227">
        <f t="shared" si="4"/>
        <v>19.692072110286425</v>
      </c>
      <c r="BU20" s="227">
        <f t="shared" si="5"/>
        <v>3.5270114211603976</v>
      </c>
      <c r="BV20" s="227">
        <f t="shared" si="97"/>
        <v>17.910819142887529</v>
      </c>
      <c r="BX20" s="231">
        <f t="shared" si="98"/>
        <v>0.29150416747384644</v>
      </c>
      <c r="BY20" s="231">
        <f t="shared" si="99"/>
        <v>0.26203808402468742</v>
      </c>
      <c r="BZ20" s="231">
        <f t="shared" si="100"/>
        <v>0.27613585473916619</v>
      </c>
      <c r="CA20" s="231">
        <f t="shared" si="101"/>
        <v>0.22457289295238086</v>
      </c>
      <c r="CB20" s="231">
        <f t="shared" si="102"/>
        <v>0.29606903101120269</v>
      </c>
      <c r="CC20" s="231">
        <f t="shared" si="103"/>
        <v>0.27645478482072261</v>
      </c>
      <c r="CD20" s="231">
        <f t="shared" si="104"/>
        <v>0.42982759585406299</v>
      </c>
      <c r="CE20" s="231">
        <f t="shared" si="105"/>
        <v>0.43471252453346043</v>
      </c>
      <c r="CF20" s="231">
        <f t="shared" si="106"/>
        <v>0.31141436692619123</v>
      </c>
      <c r="CG20" s="231">
        <f t="shared" si="107"/>
        <v>7.7737864049895175E-2</v>
      </c>
      <c r="CH20" s="231">
        <f t="shared" si="6"/>
        <v>24.962838040262909</v>
      </c>
      <c r="CJ20" s="232">
        <f t="shared" si="108"/>
        <v>1.2748137920099365</v>
      </c>
      <c r="CK20" s="232">
        <f t="shared" si="109"/>
        <v>1.2748137920099365</v>
      </c>
      <c r="CL20" s="232">
        <f t="shared" si="110"/>
        <v>1.9476386134627524</v>
      </c>
      <c r="CM20" s="232">
        <f t="shared" si="111"/>
        <v>1.6086304760427279</v>
      </c>
      <c r="CN20" s="232">
        <f t="shared" si="112"/>
        <v>1.5595759298868621</v>
      </c>
      <c r="CO20" s="232">
        <f t="shared" si="113"/>
        <v>1.2748137920099365</v>
      </c>
      <c r="CP20" s="232">
        <f t="shared" si="114"/>
        <v>1.2748137920099365</v>
      </c>
      <c r="CQ20" s="232">
        <f t="shared" si="115"/>
        <v>1.4992212296650407</v>
      </c>
      <c r="CR20" s="232">
        <f t="shared" si="116"/>
        <v>3.1745221044103209</v>
      </c>
      <c r="CS20" s="232">
        <f t="shared" si="117"/>
        <v>1.3102952380952368</v>
      </c>
      <c r="CT20" s="232">
        <f t="shared" si="118"/>
        <v>1.2764182640353599</v>
      </c>
      <c r="CU20" s="232">
        <f t="shared" si="119"/>
        <v>1.5886870021489132</v>
      </c>
      <c r="CV20" s="232">
        <f t="shared" si="120"/>
        <v>0.56763085356790866</v>
      </c>
      <c r="CW20" s="232">
        <f t="shared" si="7"/>
        <v>35.729558610356314</v>
      </c>
      <c r="CY20" s="229">
        <f t="shared" si="8"/>
        <v>0.8947671331490844</v>
      </c>
      <c r="CZ20" s="229">
        <f t="shared" si="9"/>
        <v>0.53068853639620528</v>
      </c>
      <c r="DA20" s="229">
        <f t="shared" si="10"/>
        <v>0.50110846089091088</v>
      </c>
      <c r="DB20" s="229">
        <f t="shared" si="11"/>
        <v>0.99588439739585455</v>
      </c>
      <c r="DC20" s="229">
        <f t="shared" si="12"/>
        <v>0.57096876190476309</v>
      </c>
      <c r="DD20" s="229">
        <f t="shared" si="13"/>
        <v>0.44354600261222049</v>
      </c>
      <c r="DE20" s="229">
        <f t="shared" si="14"/>
        <v>0.86055759324730452</v>
      </c>
      <c r="DF20" s="229">
        <f t="shared" si="15"/>
        <v>0.68536012651376332</v>
      </c>
      <c r="DG20" s="229">
        <f t="shared" si="16"/>
        <v>0.22375663918430763</v>
      </c>
      <c r="DH20" s="229">
        <f t="shared" si="17"/>
        <v>32.648038677489971</v>
      </c>
      <c r="DJ20" s="234">
        <f t="shared" si="121"/>
        <v>9.377829769515518E-2</v>
      </c>
      <c r="DK20" s="234">
        <f t="shared" si="122"/>
        <v>0.12672742931777728</v>
      </c>
      <c r="DL20" s="234">
        <f t="shared" si="123"/>
        <v>0.10024375461116998</v>
      </c>
      <c r="DM20" s="234">
        <f t="shared" si="18"/>
        <v>0.10691649387470081</v>
      </c>
      <c r="DN20" s="234">
        <f t="shared" si="19"/>
        <v>1.7458677087068109E-2</v>
      </c>
      <c r="DO20" s="234">
        <f t="shared" si="20"/>
        <v>16.329264507615211</v>
      </c>
      <c r="DQ20" s="229">
        <f t="shared" si="124"/>
        <v>3.1085112714597418</v>
      </c>
      <c r="DR20" s="229">
        <f t="shared" si="125"/>
        <v>2.5549478912246975</v>
      </c>
      <c r="DS20" s="229">
        <f t="shared" si="126"/>
        <v>2.6488859631139858</v>
      </c>
      <c r="DT20" s="229">
        <f t="shared" si="127"/>
        <v>2.2605200789047997</v>
      </c>
      <c r="DU20" s="229">
        <f t="shared" si="128"/>
        <v>2.5549478912246975</v>
      </c>
      <c r="DV20" s="229">
        <f t="shared" si="129"/>
        <v>1.8533313267200016</v>
      </c>
      <c r="DW20" s="229">
        <f t="shared" si="130"/>
        <v>0.52535636480000025</v>
      </c>
      <c r="DX20" s="229">
        <f t="shared" si="131"/>
        <v>2.3545849165989425</v>
      </c>
      <c r="DY20" s="229">
        <f t="shared" si="21"/>
        <v>2.2326357130058585</v>
      </c>
      <c r="DZ20" s="229">
        <f t="shared" si="22"/>
        <v>0.77667020776911089</v>
      </c>
      <c r="EA20" s="229">
        <f t="shared" si="23"/>
        <v>34.787144326534964</v>
      </c>
      <c r="EC20" s="235">
        <f t="shared" si="132"/>
        <v>0.17533146066770464</v>
      </c>
      <c r="ED20" s="235">
        <f t="shared" si="133"/>
        <v>0.12696157206831102</v>
      </c>
      <c r="EE20" s="235">
        <f t="shared" si="134"/>
        <v>0.139400172249555</v>
      </c>
      <c r="EF20" s="235">
        <f t="shared" si="135"/>
        <v>0.12737290032712992</v>
      </c>
      <c r="EG20" s="235">
        <f t="shared" si="136"/>
        <v>0.14226652632817513</v>
      </c>
      <c r="EH20" s="235">
        <f t="shared" si="137"/>
        <v>2.2785723519614779E-2</v>
      </c>
      <c r="EI20" s="235">
        <f t="shared" si="24"/>
        <v>16.016222584259573</v>
      </c>
      <c r="EK20" s="236">
        <f t="shared" si="138"/>
        <v>18.050307423580787</v>
      </c>
      <c r="EL20" s="236">
        <f t="shared" si="139"/>
        <v>20.505967285531224</v>
      </c>
      <c r="EM20" s="236">
        <f t="shared" si="140"/>
        <v>20.505967285531224</v>
      </c>
      <c r="EN20" s="236">
        <f t="shared" si="141"/>
        <v>12.486540419564227</v>
      </c>
      <c r="EO20" s="236">
        <f t="shared" si="142"/>
        <v>19.709504586108885</v>
      </c>
      <c r="EP20" s="236">
        <f t="shared" si="143"/>
        <v>20.505967285531224</v>
      </c>
      <c r="EQ20" s="236">
        <f t="shared" si="144"/>
        <v>20.227901688799918</v>
      </c>
      <c r="ER20" s="236">
        <f t="shared" si="145"/>
        <v>18.856022282092493</v>
      </c>
      <c r="ES20" s="236">
        <f t="shared" si="146"/>
        <v>2.9438329980723705</v>
      </c>
      <c r="ET20" s="236">
        <f t="shared" si="25"/>
        <v>15.612163339815949</v>
      </c>
      <c r="EV20" s="238">
        <f t="shared" si="147"/>
        <v>1.2672742931778608E-2</v>
      </c>
      <c r="EW20" s="238">
        <f t="shared" si="148"/>
        <v>1.2672742931778608E-2</v>
      </c>
      <c r="EX20" s="238" t="e">
        <f t="shared" si="149"/>
        <v>#DIV/0!</v>
      </c>
      <c r="EY20" s="238" t="e">
        <f t="shared" si="26"/>
        <v>#DIV/0!</v>
      </c>
      <c r="FA20" s="240">
        <f t="shared" si="150"/>
        <v>0.39285503088510954</v>
      </c>
      <c r="FB20" s="240">
        <f t="shared" si="151"/>
        <v>0.47125431967490478</v>
      </c>
      <c r="FC20" s="240">
        <f t="shared" si="152"/>
        <v>0.43205467528000718</v>
      </c>
      <c r="FD20" s="240">
        <f t="shared" si="153"/>
        <v>5.5436668743466692E-2</v>
      </c>
      <c r="FE20" s="240">
        <f t="shared" si="27"/>
        <v>12.830938285192525</v>
      </c>
      <c r="FG20" s="236">
        <f t="shared" si="154"/>
        <v>1.0763785576489904</v>
      </c>
      <c r="FH20" s="236">
        <f t="shared" si="155"/>
        <v>1.1980819773101929</v>
      </c>
      <c r="FI20" s="236">
        <f t="shared" si="156"/>
        <v>1.0455012918716626</v>
      </c>
      <c r="FJ20" s="236">
        <f t="shared" si="157"/>
        <v>0.7526955769230772</v>
      </c>
      <c r="FK20" s="236">
        <f t="shared" si="158"/>
        <v>1.0138194345422182</v>
      </c>
      <c r="FL20" s="236">
        <f t="shared" si="159"/>
        <v>0.75561354615384613</v>
      </c>
      <c r="FM20" s="236">
        <f t="shared" si="160"/>
        <v>0.97368173074166453</v>
      </c>
      <c r="FN20" s="236">
        <f t="shared" si="161"/>
        <v>0.1811407225629264</v>
      </c>
      <c r="FO20" s="236">
        <f t="shared" si="28"/>
        <v>18.603689156717508</v>
      </c>
      <c r="FQ20" s="227">
        <f t="shared" si="162"/>
        <v>0.28793629530455567</v>
      </c>
      <c r="FR20" s="227">
        <f t="shared" si="163"/>
        <v>0.30011915669020772</v>
      </c>
      <c r="FS20" s="227">
        <f t="shared" si="164"/>
        <v>0.30011915669020772</v>
      </c>
      <c r="FT20" s="227">
        <f t="shared" si="165"/>
        <v>0.23208356815534009</v>
      </c>
      <c r="FU20" s="227">
        <f t="shared" si="166"/>
        <v>0.26403659898358894</v>
      </c>
      <c r="FV20" s="227">
        <f t="shared" si="29"/>
        <v>0.27685895516478004</v>
      </c>
      <c r="FW20" s="227">
        <f t="shared" si="30"/>
        <v>2.9043198491478836E-2</v>
      </c>
      <c r="FX20" s="227">
        <f t="shared" si="31"/>
        <v>10.490250703356514</v>
      </c>
      <c r="FZ20" s="230">
        <f t="shared" si="167"/>
        <v>1.3306380078366615</v>
      </c>
      <c r="GA20" s="230">
        <f t="shared" si="168"/>
        <v>2.3926044383999989</v>
      </c>
      <c r="GB20" s="230">
        <f t="shared" si="169"/>
        <v>2.6269942442671699</v>
      </c>
      <c r="GC20" s="230">
        <f t="shared" si="170"/>
        <v>2.1167455635012771</v>
      </c>
      <c r="GD20" s="230">
        <f t="shared" si="171"/>
        <v>0.69080276640902272</v>
      </c>
      <c r="GE20" s="230">
        <f t="shared" si="32"/>
        <v>32.635134723815185</v>
      </c>
      <c r="GG20" s="231">
        <f t="shared" si="172"/>
        <v>8.870920052244409E-2</v>
      </c>
      <c r="GH20" s="231">
        <f t="shared" si="173"/>
        <v>4.6937111564332966E-2</v>
      </c>
      <c r="GI20" s="231">
        <f t="shared" si="174"/>
        <v>3.2833238095238096E-2</v>
      </c>
      <c r="GJ20" s="231">
        <f t="shared" si="175"/>
        <v>5.1444366294405089E-2</v>
      </c>
      <c r="GK20" s="245">
        <f t="shared" si="186"/>
        <v>4.3738238651325388E-2</v>
      </c>
      <c r="GL20" s="231">
        <f t="shared" si="187"/>
        <v>9.7091768006683874E-3</v>
      </c>
      <c r="GM20" s="231">
        <f t="shared" si="33"/>
        <v>22.198371722438285</v>
      </c>
      <c r="GO20" s="246">
        <f t="shared" si="176"/>
        <v>0.14369307692307698</v>
      </c>
      <c r="GP20" s="246">
        <f t="shared" si="177"/>
        <v>0.14573654371544387</v>
      </c>
      <c r="GQ20" s="247">
        <f t="shared" si="188"/>
        <v>0.14471481031926042</v>
      </c>
      <c r="GR20" s="246">
        <f t="shared" si="189"/>
        <v>1.4449492260121494E-3</v>
      </c>
      <c r="GS20" s="246">
        <f t="shared" si="34"/>
        <v>0.9984805444753001</v>
      </c>
      <c r="GU20" s="249">
        <f t="shared" si="178"/>
        <v>1.7950940362863151E-2</v>
      </c>
      <c r="GV20" s="249">
        <f t="shared" si="179"/>
        <v>1.7950940362863151E-2</v>
      </c>
      <c r="GW20" s="249" t="e">
        <f t="shared" si="180"/>
        <v>#DIV/0!</v>
      </c>
      <c r="GX20" s="249" t="e">
        <f t="shared" si="35"/>
        <v>#DIV/0!</v>
      </c>
      <c r="GZ20" s="240">
        <f t="shared" si="181"/>
        <v>1.9009114397666595E-2</v>
      </c>
      <c r="HA20" s="240">
        <f t="shared" si="182"/>
        <v>1.9009114397666595E-2</v>
      </c>
      <c r="HB20" s="240" t="e">
        <f t="shared" si="183"/>
        <v>#DIV/0!</v>
      </c>
      <c r="HC20" s="240" t="e">
        <f t="shared" si="36"/>
        <v>#DIV/0!</v>
      </c>
      <c r="HE20" s="234">
        <f t="shared" si="184"/>
        <v>7.4972620444077473E-2</v>
      </c>
      <c r="HF20" s="234">
        <f t="shared" si="185"/>
        <v>7.4972620444077473E-2</v>
      </c>
      <c r="HG20" s="251">
        <f t="shared" si="190"/>
        <v>7.4972620444077473E-2</v>
      </c>
      <c r="HH20" s="234">
        <f t="shared" si="191"/>
        <v>0</v>
      </c>
      <c r="HI20" s="234">
        <f t="shared" si="37"/>
        <v>0</v>
      </c>
    </row>
    <row r="21" spans="2:217" ht="15.6" x14ac:dyDescent="0.25">
      <c r="B21">
        <v>17</v>
      </c>
      <c r="C21" s="124">
        <f t="shared" si="38"/>
        <v>66.686322430197947</v>
      </c>
      <c r="D21" s="124">
        <f t="shared" si="39"/>
        <v>172.18831521114689</v>
      </c>
      <c r="E21" s="29">
        <f t="shared" si="40"/>
        <v>1.9962413498365681</v>
      </c>
      <c r="F21" s="29">
        <f t="shared" si="41"/>
        <v>1.7949003791558886</v>
      </c>
      <c r="G21" s="29">
        <f t="shared" si="42"/>
        <v>1.7893059891755345</v>
      </c>
      <c r="H21" s="29">
        <f t="shared" si="43"/>
        <v>1.7941365917605034</v>
      </c>
      <c r="I21" s="29">
        <f t="shared" si="44"/>
        <v>1.8155840399317724</v>
      </c>
      <c r="J21" s="29">
        <f t="shared" si="45"/>
        <v>1.7941365917605032</v>
      </c>
      <c r="K21" s="29">
        <f t="shared" si="46"/>
        <v>1.7877184689351917</v>
      </c>
      <c r="L21" s="125">
        <f t="shared" si="0"/>
        <v>1.824574772936566</v>
      </c>
      <c r="M21" s="126">
        <f t="shared" si="1"/>
        <v>7.6251837737434533E-2</v>
      </c>
      <c r="N21" s="126">
        <f t="shared" si="47"/>
        <v>4.1791566379442395</v>
      </c>
      <c r="P21" s="138">
        <f t="shared" si="48"/>
        <v>383.16070231667885</v>
      </c>
      <c r="Q21" s="138">
        <f t="shared" si="49"/>
        <v>437.91639999999995</v>
      </c>
      <c r="R21" s="138">
        <f t="shared" si="50"/>
        <v>383.16070231667885</v>
      </c>
      <c r="S21" s="138">
        <f t="shared" si="51"/>
        <v>397.83806609516569</v>
      </c>
      <c r="T21" s="138">
        <f t="shared" si="52"/>
        <v>400.8330438425582</v>
      </c>
      <c r="U21" s="138">
        <f t="shared" si="53"/>
        <v>383.16070231667885</v>
      </c>
      <c r="V21" s="138">
        <f t="shared" si="54"/>
        <v>370.63782000000003</v>
      </c>
      <c r="W21" s="138">
        <f t="shared" si="55"/>
        <v>393.81534812682287</v>
      </c>
      <c r="X21" s="138">
        <f t="shared" si="56"/>
        <v>21.939672328989847</v>
      </c>
      <c r="Y21" s="138">
        <f t="shared" si="57"/>
        <v>5.5710556821478869</v>
      </c>
      <c r="AA21" s="227">
        <f t="shared" si="58"/>
        <v>0.42168786294999999</v>
      </c>
      <c r="AB21" s="227">
        <f t="shared" si="59"/>
        <v>0.3947222222222222</v>
      </c>
      <c r="AC21" s="227">
        <f t="shared" si="60"/>
        <v>0.46196025363481835</v>
      </c>
      <c r="AD21" s="227">
        <f t="shared" si="61"/>
        <v>0.42168786294999999</v>
      </c>
      <c r="AE21" s="227">
        <f t="shared" si="62"/>
        <v>0.42501455043926017</v>
      </c>
      <c r="AF21" s="227">
        <f t="shared" si="63"/>
        <v>2.7717286018688971E-2</v>
      </c>
      <c r="AG21" s="227">
        <f t="shared" si="64"/>
        <v>6.5214910854328778</v>
      </c>
      <c r="AI21" s="228">
        <f t="shared" si="65"/>
        <v>4.0034602863458186</v>
      </c>
      <c r="AJ21" s="228">
        <f t="shared" si="66"/>
        <v>4.0034602863458186</v>
      </c>
      <c r="AK21" s="228">
        <f t="shared" si="67"/>
        <v>4.0034602863458186</v>
      </c>
      <c r="AL21" s="228">
        <f t="shared" si="68"/>
        <v>5.98020684297824</v>
      </c>
      <c r="AM21" s="228">
        <f t="shared" si="69"/>
        <v>3.7539189999999989</v>
      </c>
      <c r="AN21" s="228">
        <f t="shared" si="70"/>
        <v>4.3346109579628669</v>
      </c>
      <c r="AO21" s="228">
        <f t="shared" si="71"/>
        <v>4.1446876377464772</v>
      </c>
      <c r="AP21" s="228">
        <f t="shared" si="72"/>
        <v>4.3176864711035767</v>
      </c>
      <c r="AQ21" s="228">
        <f t="shared" si="73"/>
        <v>0.75368395990775694</v>
      </c>
      <c r="AR21" s="228">
        <f t="shared" si="74"/>
        <v>17.455736190013805</v>
      </c>
      <c r="AT21" s="229">
        <f t="shared" si="75"/>
        <v>1.3672615287428933</v>
      </c>
      <c r="AU21" s="229">
        <f t="shared" si="76"/>
        <v>1.1307767689952428</v>
      </c>
      <c r="AV21" s="229">
        <f t="shared" si="77"/>
        <v>1.3557693250779776</v>
      </c>
      <c r="AW21" s="229">
        <f t="shared" si="78"/>
        <v>1.3672615287428933</v>
      </c>
      <c r="AX21" s="229">
        <f t="shared" si="79"/>
        <v>0.37169147032745092</v>
      </c>
      <c r="AY21" s="229">
        <f t="shared" si="80"/>
        <v>1.2830424775992673</v>
      </c>
      <c r="AZ21" s="229">
        <f t="shared" si="81"/>
        <v>1.2999439429353985</v>
      </c>
      <c r="BA21" s="229">
        <f t="shared" si="82"/>
        <v>1.2971247184496859</v>
      </c>
      <c r="BB21" s="229">
        <f t="shared" si="83"/>
        <v>1.1841089701088512</v>
      </c>
      <c r="BC21" s="229">
        <f t="shared" si="84"/>
        <v>0.33708872375307253</v>
      </c>
      <c r="BD21" s="229">
        <f t="shared" si="85"/>
        <v>28.467711356167253</v>
      </c>
      <c r="BF21" s="230">
        <f t="shared" si="86"/>
        <v>17.918157268995245</v>
      </c>
      <c r="BG21" s="230">
        <f t="shared" si="87"/>
        <v>5.9005011929999975</v>
      </c>
      <c r="BH21" s="230">
        <f t="shared" si="88"/>
        <v>6.5884698360357579</v>
      </c>
      <c r="BI21" s="230">
        <f t="shared" si="2"/>
        <v>10.135709432676999</v>
      </c>
      <c r="BJ21" s="230">
        <f t="shared" si="3"/>
        <v>6.7485699194133737</v>
      </c>
      <c r="BK21" s="230">
        <f t="shared" si="89"/>
        <v>66.582117060857499</v>
      </c>
      <c r="BM21" s="227">
        <f t="shared" si="90"/>
        <v>28.657446197895407</v>
      </c>
      <c r="BN21" s="227">
        <f t="shared" si="91"/>
        <v>19.9369637688254</v>
      </c>
      <c r="BO21" s="227">
        <f t="shared" si="92"/>
        <v>21.261532426136903</v>
      </c>
      <c r="BP21" s="227">
        <f t="shared" si="93"/>
        <v>19.9369637688254</v>
      </c>
      <c r="BQ21" s="227">
        <f t="shared" si="94"/>
        <v>14.818942788461371</v>
      </c>
      <c r="BR21" s="227">
        <f t="shared" si="95"/>
        <v>19.434655045511711</v>
      </c>
      <c r="BS21" s="227">
        <f t="shared" si="96"/>
        <v>19.789262216666501</v>
      </c>
      <c r="BT21" s="227">
        <f t="shared" si="4"/>
        <v>20.547966601760386</v>
      </c>
      <c r="BU21" s="227">
        <f t="shared" si="5"/>
        <v>4.1161530026660724</v>
      </c>
      <c r="BV21" s="227">
        <f t="shared" si="97"/>
        <v>20.031923754019694</v>
      </c>
      <c r="BX21" s="231">
        <f t="shared" si="98"/>
        <v>0.30316566151860569</v>
      </c>
      <c r="BY21" s="231">
        <f t="shared" si="99"/>
        <v>0.27330972121364006</v>
      </c>
      <c r="BZ21" s="231">
        <f t="shared" si="100"/>
        <v>0.28538797624257434</v>
      </c>
      <c r="CA21" s="231">
        <f t="shared" si="101"/>
        <v>0.22858200780952403</v>
      </c>
      <c r="CB21" s="231">
        <f t="shared" si="102"/>
        <v>0.31063493979070173</v>
      </c>
      <c r="CC21" s="231">
        <f t="shared" si="103"/>
        <v>0.28755832149869687</v>
      </c>
      <c r="CD21" s="231">
        <f t="shared" si="104"/>
        <v>0.45736920899458494</v>
      </c>
      <c r="CE21" s="231">
        <f t="shared" si="105"/>
        <v>0.44578114302416277</v>
      </c>
      <c r="CF21" s="231">
        <f t="shared" si="106"/>
        <v>0.32397362251156137</v>
      </c>
      <c r="CG21" s="231">
        <f t="shared" si="107"/>
        <v>8.2569160223440893E-2</v>
      </c>
      <c r="CH21" s="231">
        <f t="shared" si="6"/>
        <v>25.486383608435382</v>
      </c>
      <c r="CJ21" s="232">
        <f t="shared" si="108"/>
        <v>1.3266603248193958</v>
      </c>
      <c r="CK21" s="232">
        <f t="shared" si="109"/>
        <v>1.3266603248193958</v>
      </c>
      <c r="CL21" s="232">
        <f t="shared" si="110"/>
        <v>2.0240851804726949</v>
      </c>
      <c r="CM21" s="232">
        <f t="shared" si="111"/>
        <v>1.6769960329449307</v>
      </c>
      <c r="CN21" s="232">
        <f t="shared" si="112"/>
        <v>1.6407777851545819</v>
      </c>
      <c r="CO21" s="232">
        <f t="shared" si="113"/>
        <v>1.3266603248193958</v>
      </c>
      <c r="CP21" s="232">
        <f t="shared" si="114"/>
        <v>1.3266603248193958</v>
      </c>
      <c r="CQ21" s="232">
        <f t="shared" si="115"/>
        <v>1.5744963262405833</v>
      </c>
      <c r="CR21" s="232">
        <f t="shared" si="116"/>
        <v>3.3409847537529171</v>
      </c>
      <c r="CS21" s="232">
        <f t="shared" si="117"/>
        <v>1.3347299999999949</v>
      </c>
      <c r="CT21" s="232">
        <f t="shared" si="118"/>
        <v>1.3144065764429045</v>
      </c>
      <c r="CU21" s="232">
        <f t="shared" si="119"/>
        <v>1.6557379958441991</v>
      </c>
      <c r="CV21" s="232">
        <f t="shared" si="120"/>
        <v>0.60297047439536222</v>
      </c>
      <c r="CW21" s="232">
        <f t="shared" si="7"/>
        <v>36.417022252843211</v>
      </c>
      <c r="CY21" s="229">
        <f t="shared" si="8"/>
        <v>0.95055040310737915</v>
      </c>
      <c r="CZ21" s="229">
        <f t="shared" si="9"/>
        <v>0.56640946665149183</v>
      </c>
      <c r="DA21" s="229">
        <f t="shared" si="10"/>
        <v>0.51259302704109422</v>
      </c>
      <c r="DB21" s="229">
        <f t="shared" si="11"/>
        <v>1.0380241124351552</v>
      </c>
      <c r="DC21" s="229">
        <f t="shared" si="12"/>
        <v>0.55881495238095225</v>
      </c>
      <c r="DD21" s="229">
        <f t="shared" si="13"/>
        <v>0.46680425701138561</v>
      </c>
      <c r="DE21" s="229">
        <f t="shared" si="14"/>
        <v>0.89684286648852041</v>
      </c>
      <c r="DF21" s="229">
        <f t="shared" si="15"/>
        <v>0.71286272644513982</v>
      </c>
      <c r="DG21" s="229">
        <f t="shared" si="16"/>
        <v>0.23871393179012668</v>
      </c>
      <c r="DH21" s="229">
        <f t="shared" si="17"/>
        <v>33.486662008621309</v>
      </c>
      <c r="DJ21" s="234">
        <f t="shared" si="121"/>
        <v>9.8695757196692963E-2</v>
      </c>
      <c r="DK21" s="234">
        <f t="shared" si="122"/>
        <v>0.13337264486039591</v>
      </c>
      <c r="DL21" s="234">
        <f t="shared" si="123"/>
        <v>0.10456901502086363</v>
      </c>
      <c r="DM21" s="234">
        <f t="shared" si="18"/>
        <v>0.11221247235931749</v>
      </c>
      <c r="DN21" s="234">
        <f t="shared" si="19"/>
        <v>1.8559053439597711E-2</v>
      </c>
      <c r="DO21" s="234">
        <f t="shared" si="20"/>
        <v>16.539207317498047</v>
      </c>
      <c r="DQ21" s="229">
        <f t="shared" si="124"/>
        <v>3.3021019595908325</v>
      </c>
      <c r="DR21" s="229">
        <f t="shared" si="125"/>
        <v>2.8535344071291013</v>
      </c>
      <c r="DS21" s="229">
        <f t="shared" si="126"/>
        <v>2.7368621594048488</v>
      </c>
      <c r="DT21" s="229">
        <f t="shared" si="127"/>
        <v>2.3353218242958489</v>
      </c>
      <c r="DU21" s="229">
        <f t="shared" si="128"/>
        <v>2.8535344071291013</v>
      </c>
      <c r="DV21" s="229">
        <f t="shared" si="129"/>
        <v>1.8962185635400042</v>
      </c>
      <c r="DW21" s="229">
        <f t="shared" si="130"/>
        <v>0.58564036780000051</v>
      </c>
      <c r="DX21" s="229">
        <f t="shared" si="131"/>
        <v>2.5923162048381569</v>
      </c>
      <c r="DY21" s="229">
        <f t="shared" si="21"/>
        <v>2.3944412367159869</v>
      </c>
      <c r="DZ21" s="229">
        <f t="shared" si="22"/>
        <v>0.83881456981835001</v>
      </c>
      <c r="EA21" s="229">
        <f t="shared" si="23"/>
        <v>35.03174590197073</v>
      </c>
      <c r="EC21" s="235">
        <f t="shared" si="132"/>
        <v>0.18329117059431532</v>
      </c>
      <c r="ED21" s="235">
        <f t="shared" si="133"/>
        <v>0.13277945703984792</v>
      </c>
      <c r="EE21" s="235">
        <f t="shared" si="134"/>
        <v>0.14670990934643549</v>
      </c>
      <c r="EF21" s="235">
        <f t="shared" si="135"/>
        <v>0.13244092367245405</v>
      </c>
      <c r="EG21" s="235">
        <f t="shared" si="136"/>
        <v>0.1488053651632632</v>
      </c>
      <c r="EH21" s="235">
        <f t="shared" si="137"/>
        <v>2.3932449295150902E-2</v>
      </c>
      <c r="EI21" s="235">
        <f t="shared" si="24"/>
        <v>16.08305538506168</v>
      </c>
      <c r="EK21" s="236">
        <f t="shared" si="138"/>
        <v>19.538596179039338</v>
      </c>
      <c r="EL21" s="236">
        <f t="shared" si="139"/>
        <v>21.844001585735359</v>
      </c>
      <c r="EM21" s="236">
        <f t="shared" si="140"/>
        <v>21.844001585735359</v>
      </c>
      <c r="EN21" s="236">
        <f t="shared" si="141"/>
        <v>12.995003842613201</v>
      </c>
      <c r="EO21" s="236">
        <f t="shared" si="142"/>
        <v>21.23505190939969</v>
      </c>
      <c r="EP21" s="236">
        <f t="shared" si="143"/>
        <v>21.844001585735359</v>
      </c>
      <c r="EQ21" s="236">
        <f t="shared" si="144"/>
        <v>22.5416233551231</v>
      </c>
      <c r="ER21" s="236">
        <f t="shared" si="145"/>
        <v>20.263182863340202</v>
      </c>
      <c r="ES21" s="236">
        <f t="shared" si="146"/>
        <v>3.3412631383184062</v>
      </c>
      <c r="ET21" s="236">
        <f t="shared" si="25"/>
        <v>16.489330234310628</v>
      </c>
      <c r="EV21" s="238">
        <f t="shared" si="147"/>
        <v>1.3337264486039713E-2</v>
      </c>
      <c r="EW21" s="238">
        <f t="shared" si="148"/>
        <v>1.3337264486039713E-2</v>
      </c>
      <c r="EX21" s="238" t="e">
        <f t="shared" si="149"/>
        <v>#DIV/0!</v>
      </c>
      <c r="EY21" s="238" t="e">
        <f t="shared" si="26"/>
        <v>#DIV/0!</v>
      </c>
      <c r="FA21" s="240">
        <f t="shared" si="150"/>
        <v>0.41345519906722727</v>
      </c>
      <c r="FB21" s="240">
        <f t="shared" si="151"/>
        <v>0.54589076810979331</v>
      </c>
      <c r="FC21" s="240">
        <f t="shared" si="152"/>
        <v>0.47967298358851029</v>
      </c>
      <c r="FD21" s="240">
        <f t="shared" si="153"/>
        <v>9.3646088940297786E-2</v>
      </c>
      <c r="FE21" s="240">
        <f t="shared" si="27"/>
        <v>19.52290250739502</v>
      </c>
      <c r="FG21" s="236">
        <f t="shared" si="154"/>
        <v>1.1446526237482459</v>
      </c>
      <c r="FH21" s="236">
        <f t="shared" si="155"/>
        <v>1.2501641282258051</v>
      </c>
      <c r="FI21" s="236">
        <f t="shared" si="156"/>
        <v>1.1003243200982662</v>
      </c>
      <c r="FJ21" s="236">
        <f t="shared" si="157"/>
        <v>0.82573778846153867</v>
      </c>
      <c r="FK21" s="236">
        <f t="shared" si="158"/>
        <v>1.0669811588831672</v>
      </c>
      <c r="FL21" s="236">
        <f t="shared" si="159"/>
        <v>0.83370994519230679</v>
      </c>
      <c r="FM21" s="236">
        <f t="shared" si="160"/>
        <v>1.0369283274348884</v>
      </c>
      <c r="FN21" s="236">
        <f t="shared" si="161"/>
        <v>0.17198570286633189</v>
      </c>
      <c r="FO21" s="236">
        <f t="shared" si="28"/>
        <v>16.586074303880117</v>
      </c>
      <c r="FQ21" s="227">
        <f t="shared" si="162"/>
        <v>0.30311912854765705</v>
      </c>
      <c r="FR21" s="227">
        <f t="shared" si="163"/>
        <v>0.31277860763628756</v>
      </c>
      <c r="FS21" s="227">
        <f t="shared" si="164"/>
        <v>0.31277860763628756</v>
      </c>
      <c r="FT21" s="227">
        <f t="shared" si="165"/>
        <v>0.23510272456310707</v>
      </c>
      <c r="FU21" s="227">
        <f t="shared" si="166"/>
        <v>0.27788190556663483</v>
      </c>
      <c r="FV21" s="227">
        <f t="shared" si="29"/>
        <v>0.28833219478999478</v>
      </c>
      <c r="FW21" s="227">
        <f t="shared" si="30"/>
        <v>3.3001866074296587E-2</v>
      </c>
      <c r="FX21" s="227">
        <f t="shared" si="31"/>
        <v>11.445779094607635</v>
      </c>
      <c r="FZ21" s="230">
        <f t="shared" si="167"/>
        <v>1.400412771034157</v>
      </c>
      <c r="GA21" s="230">
        <f t="shared" si="168"/>
        <v>2.4491041276000045</v>
      </c>
      <c r="GB21" s="230">
        <f t="shared" si="169"/>
        <v>2.7947728689564029</v>
      </c>
      <c r="GC21" s="230">
        <f t="shared" si="170"/>
        <v>2.2147632558635215</v>
      </c>
      <c r="GD21" s="230">
        <f t="shared" si="171"/>
        <v>0.726117589508818</v>
      </c>
      <c r="GE21" s="230">
        <f t="shared" si="32"/>
        <v>32.785336653316904</v>
      </c>
      <c r="GG21" s="231">
        <f t="shared" si="172"/>
        <v>9.3360851402277123E-2</v>
      </c>
      <c r="GH21" s="231">
        <f t="shared" si="173"/>
        <v>4.9869059794779992E-2</v>
      </c>
      <c r="GI21" s="231">
        <f t="shared" si="174"/>
        <v>3.7773904761904759E-2</v>
      </c>
      <c r="GJ21" s="231">
        <f t="shared" si="175"/>
        <v>6.418933311038609E-2</v>
      </c>
      <c r="GK21" s="245">
        <f t="shared" si="186"/>
        <v>5.0610765889023614E-2</v>
      </c>
      <c r="GL21" s="231">
        <f t="shared" si="187"/>
        <v>1.3223324455526136E-2</v>
      </c>
      <c r="GM21" s="231">
        <f t="shared" si="33"/>
        <v>26.127493277856107</v>
      </c>
      <c r="GO21" s="246">
        <f t="shared" si="176"/>
        <v>0.15998519230769265</v>
      </c>
      <c r="GP21" s="246">
        <f t="shared" si="177"/>
        <v>0.15337854158945527</v>
      </c>
      <c r="GQ21" s="247">
        <f t="shared" si="188"/>
        <v>0.15668186694857394</v>
      </c>
      <c r="GR21" s="246">
        <f t="shared" si="189"/>
        <v>4.6716075237966245E-3</v>
      </c>
      <c r="GS21" s="246">
        <f t="shared" si="34"/>
        <v>2.9815878600233541</v>
      </c>
      <c r="GU21" s="249">
        <f t="shared" si="178"/>
        <v>1.8892235144475078E-2</v>
      </c>
      <c r="GV21" s="249">
        <f t="shared" si="179"/>
        <v>1.8892235144475078E-2</v>
      </c>
      <c r="GW21" s="249" t="e">
        <f t="shared" si="180"/>
        <v>#DIV/0!</v>
      </c>
      <c r="GX21" s="249" t="e">
        <f t="shared" si="35"/>
        <v>#DIV/0!</v>
      </c>
      <c r="GZ21" s="240">
        <f t="shared" si="181"/>
        <v>2.0005896729059384E-2</v>
      </c>
      <c r="HA21" s="240">
        <f t="shared" si="182"/>
        <v>2.0005896729059384E-2</v>
      </c>
      <c r="HB21" s="240" t="e">
        <f t="shared" si="183"/>
        <v>#DIV/0!</v>
      </c>
      <c r="HC21" s="240" t="e">
        <f t="shared" si="36"/>
        <v>#DIV/0!</v>
      </c>
      <c r="HE21" s="234">
        <f t="shared" si="184"/>
        <v>7.8926523691935549E-2</v>
      </c>
      <c r="HF21" s="234">
        <f t="shared" si="185"/>
        <v>7.8926523691935549E-2</v>
      </c>
      <c r="HG21" s="251">
        <f t="shared" si="190"/>
        <v>7.8926523691935549E-2</v>
      </c>
      <c r="HH21" s="234">
        <f t="shared" si="191"/>
        <v>0</v>
      </c>
      <c r="HI21" s="234">
        <f t="shared" si="37"/>
        <v>0</v>
      </c>
    </row>
    <row r="22" spans="2:217" ht="15.6" x14ac:dyDescent="0.25">
      <c r="B22">
        <v>18</v>
      </c>
      <c r="C22" s="124">
        <f t="shared" si="38"/>
        <v>69.511017855687598</v>
      </c>
      <c r="D22" s="124">
        <f t="shared" si="39"/>
        <v>174.50677190359821</v>
      </c>
      <c r="E22" s="29">
        <f t="shared" si="40"/>
        <v>2.0455053188949308</v>
      </c>
      <c r="F22" s="29">
        <f t="shared" si="41"/>
        <v>1.8440397361349354</v>
      </c>
      <c r="G22" s="29">
        <f t="shared" si="42"/>
        <v>1.8388784807539147</v>
      </c>
      <c r="H22" s="29">
        <f t="shared" si="43"/>
        <v>1.843255038374878</v>
      </c>
      <c r="I22" s="29">
        <f t="shared" si="44"/>
        <v>1.8656267038207524</v>
      </c>
      <c r="J22" s="29">
        <f t="shared" si="45"/>
        <v>1.843255038374878</v>
      </c>
      <c r="K22" s="29">
        <f t="shared" si="46"/>
        <v>1.8356154990848148</v>
      </c>
      <c r="L22" s="125">
        <f t="shared" si="0"/>
        <v>1.8737394022055862</v>
      </c>
      <c r="M22" s="126">
        <f t="shared" si="1"/>
        <v>7.6353045001350886E-2</v>
      </c>
      <c r="N22" s="126">
        <f t="shared" si="47"/>
        <v>4.0749020334137933</v>
      </c>
      <c r="P22" s="138">
        <f t="shared" si="48"/>
        <v>393.48527446317308</v>
      </c>
      <c r="Q22" s="138">
        <f t="shared" si="49"/>
        <v>325.79239999999999</v>
      </c>
      <c r="R22" s="138">
        <f t="shared" si="50"/>
        <v>393.48527446317308</v>
      </c>
      <c r="S22" s="138">
        <f t="shared" si="51"/>
        <v>408.9913196380171</v>
      </c>
      <c r="T22" s="138">
        <f t="shared" si="52"/>
        <v>414.04134282730809</v>
      </c>
      <c r="U22" s="138">
        <f t="shared" si="53"/>
        <v>393.48527446317308</v>
      </c>
      <c r="V22" s="138">
        <f t="shared" si="54"/>
        <v>366.93912</v>
      </c>
      <c r="W22" s="138">
        <f t="shared" si="55"/>
        <v>385.17428655069205</v>
      </c>
      <c r="X22" s="138">
        <f t="shared" si="56"/>
        <v>30.184171660146127</v>
      </c>
      <c r="Y22" s="138">
        <f t="shared" si="57"/>
        <v>7.8364970648614793</v>
      </c>
      <c r="AA22" s="227">
        <f t="shared" si="58"/>
        <v>0.42484460280000003</v>
      </c>
      <c r="AB22" s="227">
        <f t="shared" si="59"/>
        <v>0.3955916030534351</v>
      </c>
      <c r="AC22" s="227">
        <f t="shared" si="60"/>
        <v>0.47</v>
      </c>
      <c r="AD22" s="227">
        <f t="shared" si="61"/>
        <v>0.42484460280000003</v>
      </c>
      <c r="AE22" s="227">
        <f t="shared" si="62"/>
        <v>0.42882020216335881</v>
      </c>
      <c r="AF22" s="227">
        <f t="shared" si="63"/>
        <v>3.0722013439174935E-2</v>
      </c>
      <c r="AG22" s="227">
        <f t="shared" si="64"/>
        <v>7.1643111225136265</v>
      </c>
      <c r="AI22" s="228">
        <f t="shared" si="65"/>
        <v>4.1341596393462963</v>
      </c>
      <c r="AJ22" s="228">
        <f t="shared" si="66"/>
        <v>4.1341596393462963</v>
      </c>
      <c r="AK22" s="228">
        <f t="shared" si="67"/>
        <v>4.1341596393462963</v>
      </c>
      <c r="AL22" s="228">
        <f t="shared" si="68"/>
        <v>6.2334473977477955</v>
      </c>
      <c r="AM22" s="228">
        <f t="shared" si="69"/>
        <v>4.28</v>
      </c>
      <c r="AN22" s="228">
        <f t="shared" si="70"/>
        <v>4.5182161606196942</v>
      </c>
      <c r="AO22" s="228">
        <f t="shared" si="71"/>
        <v>4.2680630281762824</v>
      </c>
      <c r="AP22" s="228">
        <f t="shared" si="72"/>
        <v>4.5288865006546661</v>
      </c>
      <c r="AQ22" s="228">
        <f t="shared" si="73"/>
        <v>0.76409455863070175</v>
      </c>
      <c r="AR22" s="228">
        <f t="shared" si="74"/>
        <v>16.871576678290552</v>
      </c>
      <c r="AT22" s="229">
        <f t="shared" si="75"/>
        <v>1.3712938005390836</v>
      </c>
      <c r="AU22" s="229">
        <f t="shared" si="76"/>
        <v>1.47</v>
      </c>
      <c r="AV22" s="229">
        <f t="shared" si="77"/>
        <v>1.3644997582129768</v>
      </c>
      <c r="AW22" s="229">
        <f t="shared" si="78"/>
        <v>1.3712938005390836</v>
      </c>
      <c r="AX22" s="229">
        <f t="shared" si="79"/>
        <v>0.37807369226550752</v>
      </c>
      <c r="AY22" s="229">
        <f t="shared" si="80"/>
        <v>1.3</v>
      </c>
      <c r="AZ22" s="229">
        <f t="shared" si="81"/>
        <v>1.2999683932665222</v>
      </c>
      <c r="BA22" s="229">
        <f t="shared" si="82"/>
        <v>1.295064158614271</v>
      </c>
      <c r="BB22" s="229">
        <f t="shared" si="83"/>
        <v>1.2312742004296804</v>
      </c>
      <c r="BC22" s="229">
        <f t="shared" si="84"/>
        <v>0.34957370508533836</v>
      </c>
      <c r="BD22" s="229">
        <f t="shared" si="85"/>
        <v>28.39121496766089</v>
      </c>
      <c r="BF22" s="230">
        <f t="shared" si="86"/>
        <v>11.73</v>
      </c>
      <c r="BG22" s="230">
        <f t="shared" si="87"/>
        <v>6.27</v>
      </c>
      <c r="BH22" s="230">
        <f t="shared" si="88"/>
        <v>6.6049795396227502</v>
      </c>
      <c r="BI22" s="230">
        <f t="shared" si="2"/>
        <v>8.2016598465409167</v>
      </c>
      <c r="BJ22" s="230">
        <f t="shared" si="3"/>
        <v>3.0602191101088185</v>
      </c>
      <c r="BK22" s="230">
        <f t="shared" si="89"/>
        <v>37.312192499661862</v>
      </c>
      <c r="BM22" s="227">
        <f t="shared" si="90"/>
        <v>31.73</v>
      </c>
      <c r="BN22" s="227">
        <f t="shared" si="91"/>
        <v>22.410159740197471</v>
      </c>
      <c r="BO22" s="227">
        <f t="shared" si="92"/>
        <v>21.670300220636332</v>
      </c>
      <c r="BP22" s="227">
        <f t="shared" si="93"/>
        <v>22.410159740197471</v>
      </c>
      <c r="BQ22" s="227">
        <f t="shared" si="94"/>
        <v>15.17</v>
      </c>
      <c r="BR22" s="227">
        <f t="shared" si="95"/>
        <v>20.263185221919368</v>
      </c>
      <c r="BS22" s="227">
        <f t="shared" si="96"/>
        <v>19.899213659791755</v>
      </c>
      <c r="BT22" s="227">
        <f t="shared" si="4"/>
        <v>21.936145511820346</v>
      </c>
      <c r="BU22" s="227">
        <f t="shared" si="5"/>
        <v>4.9861182466993483</v>
      </c>
      <c r="BV22" s="227">
        <f t="shared" si="97"/>
        <v>22.730147573157584</v>
      </c>
      <c r="BX22" s="231">
        <f t="shared" si="98"/>
        <v>0.31314795218710645</v>
      </c>
      <c r="BY22" s="231">
        <f t="shared" si="99"/>
        <v>0.28283293920024699</v>
      </c>
      <c r="BZ22" s="231">
        <f t="shared" si="100"/>
        <v>0.2932458654515358</v>
      </c>
      <c r="CA22" s="231">
        <f t="shared" si="101"/>
        <v>0.24</v>
      </c>
      <c r="CB22" s="231">
        <f t="shared" si="102"/>
        <v>0.32299131286670996</v>
      </c>
      <c r="CC22" s="231">
        <f t="shared" si="103"/>
        <v>0.29705871149422886</v>
      </c>
      <c r="CD22" s="231">
        <f t="shared" si="104"/>
        <v>0.48</v>
      </c>
      <c r="CE22" s="231">
        <f t="shared" si="105"/>
        <v>0.45505422565645359</v>
      </c>
      <c r="CF22" s="231">
        <f t="shared" si="106"/>
        <v>0.3355413758570352</v>
      </c>
      <c r="CG22" s="231">
        <f t="shared" si="107"/>
        <v>8.5345302250461802E-2</v>
      </c>
      <c r="CH22" s="231">
        <f t="shared" si="6"/>
        <v>25.435105292893905</v>
      </c>
      <c r="CJ22" s="232">
        <f t="shared" si="108"/>
        <v>1.370291323168223</v>
      </c>
      <c r="CK22" s="232">
        <f t="shared" si="109"/>
        <v>1.370291323168223</v>
      </c>
      <c r="CL22" s="232">
        <f t="shared" si="110"/>
        <v>2.1</v>
      </c>
      <c r="CM22" s="232">
        <f t="shared" si="111"/>
        <v>1.7332804956721759</v>
      </c>
      <c r="CN22" s="232">
        <f t="shared" si="112"/>
        <v>1.70935980306133</v>
      </c>
      <c r="CO22" s="232">
        <f t="shared" si="113"/>
        <v>1.370291323168223</v>
      </c>
      <c r="CP22" s="232">
        <f t="shared" si="114"/>
        <v>1.370291323168223</v>
      </c>
      <c r="CQ22" s="232">
        <f t="shared" si="115"/>
        <v>1.6388534277363704</v>
      </c>
      <c r="CR22" s="232">
        <f t="shared" si="116"/>
        <v>3.4825019945699487</v>
      </c>
      <c r="CS22" s="232">
        <f t="shared" si="117"/>
        <v>1.41</v>
      </c>
      <c r="CT22" s="232">
        <f t="shared" si="118"/>
        <v>1.3467816942932687</v>
      </c>
      <c r="CU22" s="232">
        <f t="shared" si="119"/>
        <v>1.7183584280005442</v>
      </c>
      <c r="CV22" s="232">
        <f t="shared" si="120"/>
        <v>0.63104948525331828</v>
      </c>
      <c r="CW22" s="232">
        <f t="shared" si="7"/>
        <v>36.723973006469777</v>
      </c>
      <c r="CY22" s="229">
        <f t="shared" si="8"/>
        <v>1.19</v>
      </c>
      <c r="CZ22" s="229">
        <f t="shared" si="9"/>
        <v>0.59748646764284985</v>
      </c>
      <c r="DA22" s="229">
        <f t="shared" si="10"/>
        <v>0.52216880947526734</v>
      </c>
      <c r="DB22" s="229">
        <f t="shared" si="11"/>
        <v>1.0730588691641052</v>
      </c>
      <c r="DC22" s="229">
        <f t="shared" si="12"/>
        <v>0.57999999999999996</v>
      </c>
      <c r="DD22" s="229">
        <f t="shared" si="13"/>
        <v>0.4865771249898132</v>
      </c>
      <c r="DE22" s="229">
        <f t="shared" si="14"/>
        <v>0.8</v>
      </c>
      <c r="DF22" s="229">
        <f t="shared" si="15"/>
        <v>0.74989875303886222</v>
      </c>
      <c r="DG22" s="229">
        <f t="shared" si="16"/>
        <v>0.28104744593382747</v>
      </c>
      <c r="DH22" s="229">
        <f t="shared" si="17"/>
        <v>37.478052176366624</v>
      </c>
      <c r="DJ22" s="234">
        <f t="shared" si="121"/>
        <v>0.10287630642641764</v>
      </c>
      <c r="DK22" s="234">
        <f t="shared" si="122"/>
        <v>0.1390220357113752</v>
      </c>
      <c r="DL22" s="234">
        <f t="shared" si="123"/>
        <v>0.10826761975541688</v>
      </c>
      <c r="DM22" s="234">
        <f t="shared" si="18"/>
        <v>0.11672198729773657</v>
      </c>
      <c r="DN22" s="234">
        <f t="shared" si="19"/>
        <v>1.9499632927079215E-2</v>
      </c>
      <c r="DO22" s="234">
        <f t="shared" si="20"/>
        <v>16.706049458650149</v>
      </c>
      <c r="DQ22" s="229">
        <f t="shared" si="124"/>
        <v>3.4956817471985762</v>
      </c>
      <c r="DR22" s="229">
        <f t="shared" si="125"/>
        <v>3.1498703670498305</v>
      </c>
      <c r="DS22" s="229">
        <f t="shared" si="126"/>
        <v>2.8106091033083791</v>
      </c>
      <c r="DT22" s="229">
        <f t="shared" si="127"/>
        <v>2.4014807550213289</v>
      </c>
      <c r="DU22" s="229">
        <f t="shared" si="128"/>
        <v>3.1498703670498305</v>
      </c>
      <c r="DV22" s="229">
        <f t="shared" si="129"/>
        <v>1.97</v>
      </c>
      <c r="DW22" s="229">
        <f t="shared" si="130"/>
        <v>0.64915159680000023</v>
      </c>
      <c r="DX22" s="229">
        <f t="shared" si="131"/>
        <v>2.8099923352082632</v>
      </c>
      <c r="DY22" s="229">
        <f t="shared" si="21"/>
        <v>2.5545820339545262</v>
      </c>
      <c r="DZ22" s="229">
        <f t="shared" si="22"/>
        <v>0.90404098029771129</v>
      </c>
      <c r="EA22" s="229">
        <f t="shared" si="23"/>
        <v>35.388997819664617</v>
      </c>
      <c r="EC22" s="235">
        <f t="shared" si="132"/>
        <v>0.18996135217917651</v>
      </c>
      <c r="ED22" s="235">
        <f t="shared" si="133"/>
        <v>0.15</v>
      </c>
      <c r="EE22" s="235">
        <f t="shared" si="134"/>
        <v>0.15292423928251273</v>
      </c>
      <c r="EF22" s="235">
        <f t="shared" si="135"/>
        <v>0.13677467779690686</v>
      </c>
      <c r="EG22" s="235">
        <f t="shared" si="136"/>
        <v>0.15741506731464902</v>
      </c>
      <c r="EH22" s="235">
        <f t="shared" si="137"/>
        <v>2.2806702944690688E-2</v>
      </c>
      <c r="EI22" s="235">
        <f t="shared" si="24"/>
        <v>14.488259182396767</v>
      </c>
      <c r="EK22" s="236">
        <f t="shared" si="138"/>
        <v>20.705381659388649</v>
      </c>
      <c r="EL22" s="236">
        <f t="shared" si="139"/>
        <v>23.009421658704181</v>
      </c>
      <c r="EM22" s="236">
        <f t="shared" si="140"/>
        <v>23.009421658704181</v>
      </c>
      <c r="EN22" s="236">
        <f t="shared" si="141"/>
        <v>13.495504663557032</v>
      </c>
      <c r="EO22" s="236">
        <f t="shared" si="142"/>
        <v>22.585139077305261</v>
      </c>
      <c r="EP22" s="236">
        <f t="shared" si="143"/>
        <v>23.009421658704181</v>
      </c>
      <c r="EQ22" s="236">
        <f t="shared" si="144"/>
        <v>24.628132999556243</v>
      </c>
      <c r="ER22" s="236">
        <f t="shared" si="145"/>
        <v>21.491774767988534</v>
      </c>
      <c r="ES22" s="236">
        <f t="shared" si="146"/>
        <v>3.7081148496368668</v>
      </c>
      <c r="ET22" s="236">
        <f t="shared" si="25"/>
        <v>17.253646521365987</v>
      </c>
      <c r="EV22" s="238">
        <f t="shared" si="147"/>
        <v>1.3902203571137537E-2</v>
      </c>
      <c r="EW22" s="238">
        <f t="shared" si="148"/>
        <v>1.3902203571137537E-2</v>
      </c>
      <c r="EX22" s="238" t="e">
        <f t="shared" si="149"/>
        <v>#DIV/0!</v>
      </c>
      <c r="EY22" s="238" t="e">
        <f t="shared" si="26"/>
        <v>#DIV/0!</v>
      </c>
      <c r="FA22" s="240">
        <f t="shared" si="150"/>
        <v>0.43096831070526309</v>
      </c>
      <c r="FB22" s="240">
        <f t="shared" si="151"/>
        <v>0.57753678467281422</v>
      </c>
      <c r="FC22" s="240">
        <f t="shared" si="152"/>
        <v>0.50425254768903871</v>
      </c>
      <c r="FD22" s="240">
        <f t="shared" si="153"/>
        <v>0.10363956185061877</v>
      </c>
      <c r="FE22" s="240">
        <f t="shared" si="27"/>
        <v>20.553106241226367</v>
      </c>
      <c r="FG22" s="236">
        <f t="shared" si="154"/>
        <v>1.2</v>
      </c>
      <c r="FH22" s="236">
        <f t="shared" si="155"/>
        <v>1.2929807943791751</v>
      </c>
      <c r="FI22" s="236">
        <f t="shared" si="156"/>
        <v>1.1469317946188453</v>
      </c>
      <c r="FJ22" s="236">
        <f t="shared" si="157"/>
        <v>0.92</v>
      </c>
      <c r="FK22" s="236">
        <f t="shared" si="158"/>
        <v>1.1121762856910016</v>
      </c>
      <c r="FL22" s="236">
        <f t="shared" si="159"/>
        <v>0.9</v>
      </c>
      <c r="FM22" s="236">
        <f t="shared" si="160"/>
        <v>1.0953481457815037</v>
      </c>
      <c r="FN22" s="236">
        <f t="shared" si="161"/>
        <v>0.15611700983081239</v>
      </c>
      <c r="FO22" s="236">
        <f t="shared" si="28"/>
        <v>14.252729639618533</v>
      </c>
      <c r="FQ22" s="227">
        <f t="shared" si="162"/>
        <v>0.32</v>
      </c>
      <c r="FR22" s="227">
        <f t="shared" si="163"/>
        <v>0.32359918909651508</v>
      </c>
      <c r="FS22" s="227">
        <f t="shared" si="164"/>
        <v>0.32359918909651508</v>
      </c>
      <c r="FT22" s="227">
        <f t="shared" si="165"/>
        <v>0.24</v>
      </c>
      <c r="FU22" s="227">
        <f t="shared" si="166"/>
        <v>0.2896524114046502</v>
      </c>
      <c r="FV22" s="227">
        <f t="shared" si="29"/>
        <v>0.29937015791953608</v>
      </c>
      <c r="FW22" s="227">
        <f t="shared" si="30"/>
        <v>3.6121089880197084E-2</v>
      </c>
      <c r="FX22" s="227">
        <f t="shared" si="31"/>
        <v>12.06569490132868</v>
      </c>
      <c r="FZ22" s="230">
        <f t="shared" si="167"/>
        <v>1.4597313749694396</v>
      </c>
      <c r="GA22" s="230">
        <f t="shared" si="168"/>
        <v>2.4700000000000002</v>
      </c>
      <c r="GB22" s="230">
        <f t="shared" si="169"/>
        <v>2.9404724546068763</v>
      </c>
      <c r="GC22" s="230">
        <f t="shared" si="170"/>
        <v>2.2900679431921054</v>
      </c>
      <c r="GD22" s="230">
        <f t="shared" si="171"/>
        <v>0.75659116769349044</v>
      </c>
      <c r="GE22" s="230">
        <f t="shared" si="32"/>
        <v>33.037935400243398</v>
      </c>
      <c r="GG22" s="231">
        <f t="shared" si="172"/>
        <v>9.7315424997962641E-2</v>
      </c>
      <c r="GH22" s="231">
        <f t="shared" si="173"/>
        <v>0.05</v>
      </c>
      <c r="GI22" s="231">
        <f t="shared" si="174"/>
        <v>0.05</v>
      </c>
      <c r="GJ22" s="231">
        <f t="shared" si="175"/>
        <v>7.9002149549128167E-2</v>
      </c>
      <c r="GK22" s="245">
        <f t="shared" si="186"/>
        <v>5.9667383183042731E-2</v>
      </c>
      <c r="GL22" s="231">
        <f t="shared" si="187"/>
        <v>1.6744398849266904E-2</v>
      </c>
      <c r="GM22" s="231">
        <f t="shared" si="33"/>
        <v>28.062901297179067</v>
      </c>
      <c r="GO22" s="246">
        <f t="shared" si="176"/>
        <v>0.18</v>
      </c>
      <c r="GP22" s="246">
        <f t="shared" si="177"/>
        <v>0.15987534106808146</v>
      </c>
      <c r="GQ22" s="247">
        <f t="shared" si="188"/>
        <v>0.16993767053404074</v>
      </c>
      <c r="GR22" s="246">
        <f t="shared" si="189"/>
        <v>1.4230282799826017E-2</v>
      </c>
      <c r="GS22" s="246">
        <f t="shared" si="34"/>
        <v>8.3738248000613282</v>
      </c>
      <c r="GU22" s="249">
        <f t="shared" si="178"/>
        <v>1.9692471358516296E-2</v>
      </c>
      <c r="GV22" s="249">
        <f t="shared" si="179"/>
        <v>1.9692471358516296E-2</v>
      </c>
      <c r="GW22" s="249" t="e">
        <f t="shared" si="180"/>
        <v>#DIV/0!</v>
      </c>
      <c r="GX22" s="249" t="e">
        <f t="shared" si="35"/>
        <v>#DIV/0!</v>
      </c>
      <c r="GZ22" s="240">
        <f t="shared" si="181"/>
        <v>2.0853305356706282E-2</v>
      </c>
      <c r="HA22" s="240">
        <f t="shared" si="182"/>
        <v>2.0853305356706282E-2</v>
      </c>
      <c r="HB22" s="240" t="e">
        <f t="shared" si="183"/>
        <v>#DIV/0!</v>
      </c>
      <c r="HC22" s="240" t="e">
        <f t="shared" si="36"/>
        <v>#DIV/0!</v>
      </c>
      <c r="HE22" s="234">
        <f t="shared" si="184"/>
        <v>8.2287911248268231E-2</v>
      </c>
      <c r="HF22" s="234">
        <f t="shared" si="185"/>
        <v>8.2287911248268231E-2</v>
      </c>
      <c r="HG22" s="251">
        <f t="shared" si="190"/>
        <v>8.2287911248268231E-2</v>
      </c>
      <c r="HH22" s="234">
        <f t="shared" si="191"/>
        <v>0</v>
      </c>
      <c r="HI22" s="234">
        <f t="shared" si="37"/>
        <v>0</v>
      </c>
    </row>
    <row r="23" spans="2:217" ht="15.6" x14ac:dyDescent="0.25">
      <c r="B23">
        <v>19</v>
      </c>
      <c r="C23" s="124">
        <f t="shared" si="38"/>
        <v>71.847510292945188</v>
      </c>
      <c r="D23" s="124">
        <f t="shared" si="39"/>
        <v>176.45407108879749</v>
      </c>
      <c r="E23" s="29">
        <f t="shared" si="40"/>
        <v>2.0861094558853068</v>
      </c>
      <c r="F23" s="29">
        <f t="shared" si="41"/>
        <v>1.8845101020586099</v>
      </c>
      <c r="G23" s="29">
        <f t="shared" si="42"/>
        <v>1.879962887966353</v>
      </c>
      <c r="H23" s="29">
        <f t="shared" si="43"/>
        <v>1.8837081828662445</v>
      </c>
      <c r="I23" s="29">
        <f t="shared" si="44"/>
        <v>1.9068436974094936</v>
      </c>
      <c r="J23" s="29">
        <f t="shared" si="45"/>
        <v>1.8837081828662445</v>
      </c>
      <c r="K23" s="29">
        <f t="shared" si="46"/>
        <v>1.8765945581753829</v>
      </c>
      <c r="L23" s="125">
        <f t="shared" si="0"/>
        <v>1.9144910096039478</v>
      </c>
      <c r="M23" s="126">
        <f t="shared" si="1"/>
        <v>7.6303914669884731E-2</v>
      </c>
      <c r="N23" s="126">
        <f t="shared" si="47"/>
        <v>3.9855979624406688</v>
      </c>
      <c r="P23" s="138">
        <f t="shared" si="48"/>
        <v>402.04311201682901</v>
      </c>
      <c r="Q23" s="138">
        <f t="shared" si="49"/>
        <v>325.79239999999999</v>
      </c>
      <c r="R23" s="138">
        <f t="shared" si="50"/>
        <v>402.04311201682901</v>
      </c>
      <c r="S23" s="138">
        <f t="shared" si="51"/>
        <v>417.92221678757204</v>
      </c>
      <c r="T23" s="138">
        <f t="shared" si="52"/>
        <v>424.87829368172686</v>
      </c>
      <c r="U23" s="138">
        <f t="shared" si="53"/>
        <v>402.04311201682901</v>
      </c>
      <c r="V23" s="138">
        <f t="shared" si="54"/>
        <v>363.29718000000003</v>
      </c>
      <c r="W23" s="138">
        <f t="shared" si="55"/>
        <v>391.14563235996945</v>
      </c>
      <c r="X23" s="138">
        <f t="shared" si="56"/>
        <v>34.779602213590579</v>
      </c>
      <c r="Y23" s="138">
        <f t="shared" si="57"/>
        <v>8.8917271052596281</v>
      </c>
      <c r="AA23" s="227">
        <f t="shared" si="58"/>
        <v>0.42777845884999999</v>
      </c>
      <c r="AB23" s="227">
        <f t="shared" si="59"/>
        <v>0.39639705882352938</v>
      </c>
      <c r="AC23" s="227">
        <f t="shared" si="60"/>
        <v>0.47</v>
      </c>
      <c r="AD23" s="227">
        <f t="shared" si="61"/>
        <v>0.42777845884999999</v>
      </c>
      <c r="AE23" s="227">
        <f t="shared" si="62"/>
        <v>0.43048849413088236</v>
      </c>
      <c r="AF23" s="227">
        <f t="shared" si="63"/>
        <v>3.0210779752752732E-2</v>
      </c>
      <c r="AG23" s="227">
        <f t="shared" si="64"/>
        <v>7.0177902928034319</v>
      </c>
      <c r="AI23" s="228">
        <f t="shared" si="65"/>
        <v>4.243037155502507</v>
      </c>
      <c r="AJ23" s="228">
        <f t="shared" si="66"/>
        <v>4.243037155502507</v>
      </c>
      <c r="AK23" s="228">
        <f t="shared" si="67"/>
        <v>4.243037155502507</v>
      </c>
      <c r="AL23" s="228">
        <f t="shared" si="68"/>
        <v>6.4429151931763302</v>
      </c>
      <c r="AM23" s="228">
        <f t="shared" si="69"/>
        <v>4.28</v>
      </c>
      <c r="AN23" s="228">
        <f t="shared" si="70"/>
        <v>4.6700881690414375</v>
      </c>
      <c r="AO23" s="228">
        <f t="shared" si="71"/>
        <v>4.3703264957985857</v>
      </c>
      <c r="AP23" s="228">
        <f t="shared" si="72"/>
        <v>4.641777332074839</v>
      </c>
      <c r="AQ23" s="228">
        <f t="shared" si="73"/>
        <v>0.80895495114994642</v>
      </c>
      <c r="AR23" s="228">
        <f t="shared" si="74"/>
        <v>17.427698342185444</v>
      </c>
      <c r="AT23" s="229">
        <f t="shared" si="75"/>
        <v>1.3749288154897497</v>
      </c>
      <c r="AU23" s="229">
        <f t="shared" si="76"/>
        <v>1.47</v>
      </c>
      <c r="AV23" s="229">
        <f t="shared" si="77"/>
        <v>1.3718630984973199</v>
      </c>
      <c r="AW23" s="229">
        <f t="shared" si="78"/>
        <v>1.3749288154897497</v>
      </c>
      <c r="AX23" s="229">
        <f t="shared" si="79"/>
        <v>0.38718931798949363</v>
      </c>
      <c r="AY23" s="229">
        <f t="shared" si="80"/>
        <v>1.3</v>
      </c>
      <c r="AZ23" s="229">
        <f t="shared" si="81"/>
        <v>1.2999821791310651</v>
      </c>
      <c r="BA23" s="229">
        <f t="shared" si="82"/>
        <v>1.2930068699289088</v>
      </c>
      <c r="BB23" s="229">
        <f t="shared" si="83"/>
        <v>1.2339873870657858</v>
      </c>
      <c r="BC23" s="229">
        <f t="shared" si="84"/>
        <v>0.34717304959467582</v>
      </c>
      <c r="BD23" s="229">
        <f t="shared" si="85"/>
        <v>28.134246203293444</v>
      </c>
      <c r="BF23" s="230">
        <f t="shared" si="86"/>
        <v>11.73</v>
      </c>
      <c r="BG23" s="230">
        <f t="shared" si="87"/>
        <v>6.27</v>
      </c>
      <c r="BH23" s="230">
        <f t="shared" si="88"/>
        <v>6.6110849871668496</v>
      </c>
      <c r="BI23" s="230">
        <f t="shared" si="2"/>
        <v>8.203694995722282</v>
      </c>
      <c r="BJ23" s="230">
        <f t="shared" si="3"/>
        <v>3.0586279570279928</v>
      </c>
      <c r="BK23" s="230">
        <f t="shared" si="89"/>
        <v>37.28354063166509</v>
      </c>
      <c r="BM23" s="227">
        <f t="shared" si="90"/>
        <v>31.73</v>
      </c>
      <c r="BN23" s="227">
        <f t="shared" si="91"/>
        <v>23.08130696079332</v>
      </c>
      <c r="BO23" s="227">
        <f t="shared" si="92"/>
        <v>21.974385113343832</v>
      </c>
      <c r="BP23" s="227">
        <f t="shared" si="93"/>
        <v>23.08130696079332</v>
      </c>
      <c r="BQ23" s="227">
        <f t="shared" si="94"/>
        <v>15.17</v>
      </c>
      <c r="BR23" s="227">
        <f t="shared" si="95"/>
        <v>20.948213554996961</v>
      </c>
      <c r="BS23" s="227">
        <f t="shared" si="96"/>
        <v>19.95</v>
      </c>
      <c r="BT23" s="227">
        <f t="shared" si="4"/>
        <v>22.276458941418205</v>
      </c>
      <c r="BU23" s="227">
        <f t="shared" si="5"/>
        <v>4.9738424702169119</v>
      </c>
      <c r="BV23" s="227">
        <f t="shared" si="97"/>
        <v>22.327796726117629</v>
      </c>
      <c r="BX23" s="231">
        <f t="shared" si="98"/>
        <v>0.32149168770436021</v>
      </c>
      <c r="BY23" s="231">
        <f t="shared" si="99"/>
        <v>0.29064183239367702</v>
      </c>
      <c r="BZ23" s="231">
        <f t="shared" si="100"/>
        <v>0.29977433316980401</v>
      </c>
      <c r="CA23" s="231">
        <f t="shared" si="101"/>
        <v>0.24</v>
      </c>
      <c r="CB23" s="231">
        <f t="shared" si="102"/>
        <v>0.3331839446038482</v>
      </c>
      <c r="CC23" s="231">
        <f t="shared" si="103"/>
        <v>0.30499733441579641</v>
      </c>
      <c r="CD23" s="231">
        <f t="shared" si="104"/>
        <v>0.48</v>
      </c>
      <c r="CE23" s="231">
        <f t="shared" si="105"/>
        <v>0.46270976688197107</v>
      </c>
      <c r="CF23" s="231">
        <f t="shared" si="106"/>
        <v>0.34159986239618212</v>
      </c>
      <c r="CG23" s="231">
        <f t="shared" si="107"/>
        <v>8.4773434370947739E-2</v>
      </c>
      <c r="CH23" s="231">
        <f t="shared" si="6"/>
        <v>24.816589145059094</v>
      </c>
      <c r="CJ23" s="232">
        <f t="shared" si="108"/>
        <v>1.4060870436880404</v>
      </c>
      <c r="CK23" s="232">
        <f t="shared" si="109"/>
        <v>1.4060870436880404</v>
      </c>
      <c r="CL23" s="232">
        <f t="shared" si="110"/>
        <v>2.1</v>
      </c>
      <c r="CM23" s="232">
        <f t="shared" si="111"/>
        <v>1.7780472555576932</v>
      </c>
      <c r="CN23" s="232">
        <f t="shared" si="112"/>
        <v>1.7655680721298423</v>
      </c>
      <c r="CO23" s="232">
        <f t="shared" si="113"/>
        <v>1.4060870436880404</v>
      </c>
      <c r="CP23" s="232">
        <f t="shared" si="114"/>
        <v>1.4060870436880404</v>
      </c>
      <c r="CQ23" s="232">
        <f t="shared" si="115"/>
        <v>1.692175687733362</v>
      </c>
      <c r="CR23" s="232">
        <f t="shared" si="116"/>
        <v>3.599560265676554</v>
      </c>
      <c r="CS23" s="232">
        <f t="shared" si="117"/>
        <v>1.41</v>
      </c>
      <c r="CT23" s="232">
        <f t="shared" si="118"/>
        <v>1.3737510650056239</v>
      </c>
      <c r="CU23" s="232">
        <f t="shared" si="119"/>
        <v>1.7584955018959307</v>
      </c>
      <c r="CV23" s="232">
        <f t="shared" si="120"/>
        <v>0.6540045625954779</v>
      </c>
      <c r="CW23" s="232">
        <f t="shared" si="7"/>
        <v>37.191142194583925</v>
      </c>
      <c r="CY23" s="229">
        <f t="shared" si="8"/>
        <v>1.19</v>
      </c>
      <c r="CZ23" s="229">
        <f t="shared" si="9"/>
        <v>0.62376481597277822</v>
      </c>
      <c r="DA23" s="229">
        <f t="shared" si="10"/>
        <v>0.53004285854260313</v>
      </c>
      <c r="DB23" s="229">
        <f t="shared" si="11"/>
        <v>1.1014897459928643</v>
      </c>
      <c r="DC23" s="229">
        <f t="shared" si="12"/>
        <v>0.57999999999999996</v>
      </c>
      <c r="DD23" s="229">
        <f t="shared" si="13"/>
        <v>0.50293257205061637</v>
      </c>
      <c r="DE23" s="229">
        <f t="shared" si="14"/>
        <v>0.8</v>
      </c>
      <c r="DF23" s="229">
        <f t="shared" si="15"/>
        <v>0.76117571322269451</v>
      </c>
      <c r="DG23" s="229">
        <f t="shared" si="16"/>
        <v>0.28078151212104951</v>
      </c>
      <c r="DH23" s="229">
        <f t="shared" si="17"/>
        <v>36.887870598533176</v>
      </c>
      <c r="DJ23" s="234">
        <f t="shared" si="121"/>
        <v>0.10633431523355888</v>
      </c>
      <c r="DK23" s="234">
        <f t="shared" si="122"/>
        <v>0.14369502058589037</v>
      </c>
      <c r="DL23" s="234">
        <f t="shared" si="123"/>
        <v>0.11135650191444438</v>
      </c>
      <c r="DM23" s="234">
        <f t="shared" si="18"/>
        <v>0.12046194591129789</v>
      </c>
      <c r="DN23" s="234">
        <f t="shared" si="19"/>
        <v>2.0276523589876274E-2</v>
      </c>
      <c r="DO23" s="234">
        <f t="shared" si="20"/>
        <v>16.832306199674779</v>
      </c>
      <c r="DQ23" s="229">
        <f t="shared" si="124"/>
        <v>3.49</v>
      </c>
      <c r="DR23" s="229">
        <f t="shared" si="125"/>
        <v>3.4425568438500331</v>
      </c>
      <c r="DS23" s="229">
        <f t="shared" si="126"/>
        <v>2.8717365144059217</v>
      </c>
      <c r="DT23" s="229">
        <f t="shared" si="127"/>
        <v>2.4579465653592907</v>
      </c>
      <c r="DU23" s="229">
        <f t="shared" si="128"/>
        <v>3.4425568438500331</v>
      </c>
      <c r="DV23" s="229">
        <f t="shared" si="129"/>
        <v>1.97</v>
      </c>
      <c r="DW23" s="229">
        <f t="shared" si="130"/>
        <v>0.71499044780000065</v>
      </c>
      <c r="DX23" s="229">
        <f t="shared" si="131"/>
        <v>3.0042092595881642</v>
      </c>
      <c r="DY23" s="229">
        <f t="shared" si="21"/>
        <v>2.6742495593566806</v>
      </c>
      <c r="DZ23" s="229">
        <f t="shared" si="22"/>
        <v>0.95434092011910854</v>
      </c>
      <c r="EA23" s="229">
        <f t="shared" si="23"/>
        <v>35.68630746446437</v>
      </c>
      <c r="EC23" s="235">
        <f t="shared" si="132"/>
        <v>0.1954115315383966</v>
      </c>
      <c r="ED23" s="235">
        <f t="shared" si="133"/>
        <v>0.15</v>
      </c>
      <c r="EE23" s="235">
        <f t="shared" si="134"/>
        <v>0.15806452264447943</v>
      </c>
      <c r="EF23" s="235">
        <f t="shared" si="135"/>
        <v>0.14039400366635557</v>
      </c>
      <c r="EG23" s="235">
        <f t="shared" si="136"/>
        <v>0.16096751446230789</v>
      </c>
      <c r="EH23" s="235">
        <f t="shared" si="137"/>
        <v>2.4071929667729836E-2</v>
      </c>
      <c r="EI23" s="235">
        <f t="shared" si="24"/>
        <v>14.954526537940991</v>
      </c>
      <c r="EK23" s="236">
        <f t="shared" si="138"/>
        <v>20.705381659388649</v>
      </c>
      <c r="EL23" s="236">
        <f t="shared" si="139"/>
        <v>24.007170264452974</v>
      </c>
      <c r="EM23" s="236">
        <f t="shared" si="140"/>
        <v>24.007170264452974</v>
      </c>
      <c r="EN23" s="236">
        <f t="shared" si="141"/>
        <v>14.4</v>
      </c>
      <c r="EO23" s="236">
        <f t="shared" si="142"/>
        <v>23.744888937256256</v>
      </c>
      <c r="EP23" s="236">
        <f t="shared" si="143"/>
        <v>24.007170264452974</v>
      </c>
      <c r="EQ23" s="236">
        <f t="shared" si="144"/>
        <v>26.428044724559651</v>
      </c>
      <c r="ER23" s="236">
        <f t="shared" si="145"/>
        <v>22.471403730651925</v>
      </c>
      <c r="ES23" s="236">
        <f t="shared" si="146"/>
        <v>3.9289290568913726</v>
      </c>
      <c r="ET23" s="236">
        <f t="shared" si="25"/>
        <v>17.484128290268536</v>
      </c>
      <c r="EV23" s="238">
        <f t="shared" si="147"/>
        <v>1.4369502058589041E-2</v>
      </c>
      <c r="EW23" s="238">
        <f t="shared" si="148"/>
        <v>1.4369502058589041E-2</v>
      </c>
      <c r="EX23" s="238" t="e">
        <f t="shared" si="149"/>
        <v>#DIV/0!</v>
      </c>
      <c r="EY23" s="238" t="e">
        <f t="shared" si="26"/>
        <v>#DIV/0!</v>
      </c>
      <c r="FA23" s="240">
        <f t="shared" si="150"/>
        <v>0.44545456381626014</v>
      </c>
      <c r="FB23" s="240">
        <f t="shared" si="151"/>
        <v>0.59826347771629551</v>
      </c>
      <c r="FC23" s="240">
        <f t="shared" si="152"/>
        <v>0.52185902076627788</v>
      </c>
      <c r="FD23" s="240">
        <f t="shared" si="153"/>
        <v>0.10805221924446626</v>
      </c>
      <c r="FE23" s="240">
        <f t="shared" si="27"/>
        <v>20.705250833032739</v>
      </c>
      <c r="FG23" s="236">
        <f t="shared" si="154"/>
        <v>1.2</v>
      </c>
      <c r="FH23" s="236">
        <f t="shared" si="155"/>
        <v>1.3252077778612334</v>
      </c>
      <c r="FI23" s="236">
        <f t="shared" si="156"/>
        <v>1.1854839198335956</v>
      </c>
      <c r="FJ23" s="236">
        <f t="shared" si="157"/>
        <v>0.92</v>
      </c>
      <c r="FK23" s="236">
        <f t="shared" si="158"/>
        <v>1.149560164687123</v>
      </c>
      <c r="FL23" s="236">
        <f t="shared" si="159"/>
        <v>0.9</v>
      </c>
      <c r="FM23" s="236">
        <f t="shared" si="160"/>
        <v>1.1133753103969919</v>
      </c>
      <c r="FN23" s="236">
        <f t="shared" si="161"/>
        <v>0.16840953661466554</v>
      </c>
      <c r="FO23" s="236">
        <f t="shared" si="28"/>
        <v>15.126034773899955</v>
      </c>
      <c r="FQ23" s="227">
        <f t="shared" si="162"/>
        <v>0.32</v>
      </c>
      <c r="FR23" s="227">
        <f t="shared" si="163"/>
        <v>0.3326318247711742</v>
      </c>
      <c r="FS23" s="227">
        <f t="shared" si="164"/>
        <v>0.3326318247711742</v>
      </c>
      <c r="FT23" s="227">
        <f t="shared" si="165"/>
        <v>0.24</v>
      </c>
      <c r="FU23" s="227">
        <f t="shared" si="166"/>
        <v>0.29938857539070257</v>
      </c>
      <c r="FV23" s="227">
        <f t="shared" si="29"/>
        <v>0.30493044498661021</v>
      </c>
      <c r="FW23" s="227">
        <f t="shared" si="30"/>
        <v>3.8757255375658828E-2</v>
      </c>
      <c r="FX23" s="227">
        <f t="shared" si="31"/>
        <v>12.710195394677855</v>
      </c>
      <c r="FZ23" s="230">
        <f t="shared" si="167"/>
        <v>1.5087977161518491</v>
      </c>
      <c r="GA23" s="230">
        <f t="shared" si="168"/>
        <v>2.4700000000000002</v>
      </c>
      <c r="GB23" s="230">
        <f t="shared" si="169"/>
        <v>3.0639578247240347</v>
      </c>
      <c r="GC23" s="230">
        <f t="shared" si="170"/>
        <v>2.3475851802919614</v>
      </c>
      <c r="GD23" s="230">
        <f t="shared" si="171"/>
        <v>0.78477371380970473</v>
      </c>
      <c r="GE23" s="230">
        <f t="shared" si="32"/>
        <v>33.428977163337905</v>
      </c>
      <c r="GG23" s="231">
        <f t="shared" si="172"/>
        <v>0.10058651441012326</v>
      </c>
      <c r="GH23" s="231">
        <f t="shared" si="173"/>
        <v>0.05</v>
      </c>
      <c r="GI23" s="231">
        <f t="shared" si="174"/>
        <v>0.05</v>
      </c>
      <c r="GJ23" s="231">
        <f t="shared" si="175"/>
        <v>9.5947205714491307E-2</v>
      </c>
      <c r="GK23" s="245">
        <f t="shared" si="186"/>
        <v>6.5315735238163766E-2</v>
      </c>
      <c r="GL23" s="231">
        <f t="shared" si="187"/>
        <v>2.6527631587772677E-2</v>
      </c>
      <c r="GM23" s="231">
        <f t="shared" si="33"/>
        <v>40.614457589803983</v>
      </c>
      <c r="GO23" s="246">
        <f t="shared" si="176"/>
        <v>0.18</v>
      </c>
      <c r="GP23" s="246">
        <f t="shared" si="177"/>
        <v>0.16524927367377393</v>
      </c>
      <c r="GQ23" s="247">
        <f t="shared" si="188"/>
        <v>0.17262463683688695</v>
      </c>
      <c r="GR23" s="246">
        <f t="shared" si="189"/>
        <v>1.0430338612701382E-2</v>
      </c>
      <c r="GS23" s="246">
        <f t="shared" si="34"/>
        <v>6.0422074182591965</v>
      </c>
      <c r="GU23" s="249">
        <f t="shared" si="178"/>
        <v>2.0354399665991372E-2</v>
      </c>
      <c r="GV23" s="249">
        <f t="shared" si="179"/>
        <v>2.0354399665991372E-2</v>
      </c>
      <c r="GW23" s="249" t="e">
        <f t="shared" si="180"/>
        <v>#DIV/0!</v>
      </c>
      <c r="GX23" s="249" t="e">
        <f t="shared" si="35"/>
        <v>#DIV/0!</v>
      </c>
      <c r="GZ23" s="240">
        <f t="shared" si="181"/>
        <v>2.1554253087883557E-2</v>
      </c>
      <c r="HA23" s="240">
        <f t="shared" si="182"/>
        <v>2.1554253087883557E-2</v>
      </c>
      <c r="HB23" s="240" t="e">
        <f t="shared" si="183"/>
        <v>#DIV/0!</v>
      </c>
      <c r="HC23" s="240" t="e">
        <f t="shared" si="36"/>
        <v>#DIV/0!</v>
      </c>
      <c r="HE23" s="234">
        <f t="shared" si="184"/>
        <v>8.5068337248604756E-2</v>
      </c>
      <c r="HF23" s="234">
        <f t="shared" si="185"/>
        <v>8.5068337248604756E-2</v>
      </c>
      <c r="HG23" s="251">
        <f t="shared" si="190"/>
        <v>8.5068337248604756E-2</v>
      </c>
      <c r="HH23" s="234">
        <f t="shared" si="191"/>
        <v>0</v>
      </c>
      <c r="HI23" s="234">
        <f t="shared" si="37"/>
        <v>0</v>
      </c>
    </row>
    <row r="24" spans="2:217" ht="15.6" x14ac:dyDescent="0.25">
      <c r="B24">
        <v>20</v>
      </c>
      <c r="C24" s="124">
        <f t="shared" si="38"/>
        <v>73.724377359037561</v>
      </c>
      <c r="D24" s="124">
        <f t="shared" si="39"/>
        <v>178.05444833587205</v>
      </c>
      <c r="E24" s="29">
        <f t="shared" si="40"/>
        <v>2.1187505638128714</v>
      </c>
      <c r="F24" s="29">
        <f t="shared" si="41"/>
        <v>1.9169945542215847</v>
      </c>
      <c r="G24" s="29">
        <f t="shared" si="42"/>
        <v>1.9131624453373066</v>
      </c>
      <c r="H24" s="29">
        <f t="shared" si="43"/>
        <v>1.9161788118580863</v>
      </c>
      <c r="I24" s="29">
        <f t="shared" si="44"/>
        <v>1.9399282151096502</v>
      </c>
      <c r="J24" s="29">
        <f t="shared" si="45"/>
        <v>1.9161788118580863</v>
      </c>
      <c r="K24" s="29">
        <f t="shared" si="46"/>
        <v>1.9095486188254229</v>
      </c>
      <c r="L24" s="125">
        <f t="shared" si="0"/>
        <v>1.9472488601461444</v>
      </c>
      <c r="M24" s="126">
        <f t="shared" si="1"/>
        <v>7.6262307097196169E-2</v>
      </c>
      <c r="N24" s="126">
        <f t="shared" si="47"/>
        <v>3.9164129792569273</v>
      </c>
      <c r="P24" s="138">
        <f t="shared" si="48"/>
        <v>408.92226063069029</v>
      </c>
      <c r="Q24" s="138">
        <f t="shared" si="49"/>
        <v>325.79239999999999</v>
      </c>
      <c r="R24" s="138">
        <f t="shared" si="50"/>
        <v>408.92226063069029</v>
      </c>
      <c r="S24" s="138">
        <f t="shared" si="51"/>
        <v>424.70821732044141</v>
      </c>
      <c r="T24" s="138">
        <f t="shared" si="52"/>
        <v>433.52771594051933</v>
      </c>
      <c r="U24" s="138">
        <f t="shared" si="53"/>
        <v>408.92226063069029</v>
      </c>
      <c r="V24" s="138">
        <f t="shared" si="54"/>
        <v>359.71200000000005</v>
      </c>
      <c r="W24" s="138">
        <f t="shared" si="55"/>
        <v>395.78673073614738</v>
      </c>
      <c r="X24" s="138">
        <f t="shared" si="56"/>
        <v>38.684737128399306</v>
      </c>
      <c r="Y24" s="138">
        <f t="shared" si="57"/>
        <v>9.7741369591767899</v>
      </c>
      <c r="AA24" s="227">
        <f t="shared" si="58"/>
        <v>0.4304962</v>
      </c>
      <c r="AB24" s="227">
        <f t="shared" si="59"/>
        <v>0.39714539007092198</v>
      </c>
      <c r="AC24" s="227">
        <f t="shared" si="60"/>
        <v>0.47</v>
      </c>
      <c r="AD24" s="227">
        <f t="shared" si="61"/>
        <v>0.4304962</v>
      </c>
      <c r="AE24" s="227">
        <f t="shared" si="62"/>
        <v>0.43203444751773046</v>
      </c>
      <c r="AF24" s="227">
        <f t="shared" si="63"/>
        <v>2.9795759853052196E-2</v>
      </c>
      <c r="AG24" s="227">
        <f t="shared" si="64"/>
        <v>6.8966166990259259</v>
      </c>
      <c r="AI24" s="228">
        <f t="shared" si="65"/>
        <v>4.3309084751583349</v>
      </c>
      <c r="AJ24" s="228">
        <f t="shared" si="66"/>
        <v>4.3309084751583349</v>
      </c>
      <c r="AK24" s="228">
        <f t="shared" si="67"/>
        <v>4.3309084751583349</v>
      </c>
      <c r="AL24" s="228">
        <f t="shared" si="68"/>
        <v>6.6111745618359725</v>
      </c>
      <c r="AM24" s="228">
        <f t="shared" si="69"/>
        <v>4.28</v>
      </c>
      <c r="AN24" s="228">
        <f t="shared" si="70"/>
        <v>4.7920845283374414</v>
      </c>
      <c r="AO24" s="228">
        <f t="shared" si="71"/>
        <v>4.4525301584799477</v>
      </c>
      <c r="AP24" s="228">
        <f t="shared" si="72"/>
        <v>4.7326449534469095</v>
      </c>
      <c r="AQ24" s="228">
        <f t="shared" si="73"/>
        <v>0.84655526486865018</v>
      </c>
      <c r="AR24" s="228">
        <f t="shared" si="74"/>
        <v>17.88757181651841</v>
      </c>
      <c r="AT24" s="229">
        <f t="shared" si="75"/>
        <v>1.3782225237449117</v>
      </c>
      <c r="AU24" s="229">
        <f t="shared" si="76"/>
        <v>1.47</v>
      </c>
      <c r="AV24" s="229">
        <f t="shared" si="77"/>
        <v>1.3779558623522663</v>
      </c>
      <c r="AW24" s="229">
        <f t="shared" si="78"/>
        <v>1.3782225237449117</v>
      </c>
      <c r="AX24" s="229">
        <f t="shared" si="79"/>
        <v>0.39852663620509354</v>
      </c>
      <c r="AY24" s="229">
        <f t="shared" si="80"/>
        <v>1.3</v>
      </c>
      <c r="AZ24" s="229">
        <f t="shared" si="81"/>
        <v>1.2999899520344353</v>
      </c>
      <c r="BA24" s="229">
        <f t="shared" si="82"/>
        <v>1.2909528486675605</v>
      </c>
      <c r="BB24" s="229">
        <f t="shared" si="83"/>
        <v>1.2367337933436473</v>
      </c>
      <c r="BC24" s="229">
        <f t="shared" si="84"/>
        <v>0.34391232611141687</v>
      </c>
      <c r="BD24" s="229">
        <f t="shared" si="85"/>
        <v>27.808112623947277</v>
      </c>
      <c r="BF24" s="230">
        <f t="shared" si="86"/>
        <v>11.73</v>
      </c>
      <c r="BG24" s="230">
        <f t="shared" si="87"/>
        <v>6.27</v>
      </c>
      <c r="BH24" s="230">
        <f t="shared" si="88"/>
        <v>6.6133353934087689</v>
      </c>
      <c r="BI24" s="230">
        <f t="shared" si="2"/>
        <v>8.2044451311362554</v>
      </c>
      <c r="BJ24" s="230">
        <f t="shared" si="3"/>
        <v>3.0580422901128137</v>
      </c>
      <c r="BK24" s="230">
        <f t="shared" si="89"/>
        <v>37.272993374133243</v>
      </c>
      <c r="BM24" s="227">
        <f t="shared" si="90"/>
        <v>31.73</v>
      </c>
      <c r="BN24" s="227">
        <f t="shared" si="91"/>
        <v>23.627087440484601</v>
      </c>
      <c r="BO24" s="227">
        <f t="shared" si="92"/>
        <v>22.198691867405653</v>
      </c>
      <c r="BP24" s="227">
        <f t="shared" si="93"/>
        <v>23.627087440484601</v>
      </c>
      <c r="BQ24" s="227">
        <f t="shared" si="94"/>
        <v>15.17</v>
      </c>
      <c r="BR24" s="227">
        <f t="shared" si="95"/>
        <v>21.498305458431151</v>
      </c>
      <c r="BS24" s="227">
        <f t="shared" si="96"/>
        <v>19.95</v>
      </c>
      <c r="BT24" s="227">
        <f t="shared" si="4"/>
        <v>22.543024600972284</v>
      </c>
      <c r="BU24" s="227">
        <f t="shared" si="5"/>
        <v>4.984077529632934</v>
      </c>
      <c r="BV24" s="227">
        <f t="shared" si="97"/>
        <v>22.109178417069952</v>
      </c>
      <c r="BX24" s="231">
        <f t="shared" si="98"/>
        <v>0.32828307329810791</v>
      </c>
      <c r="BY24" s="231">
        <f t="shared" si="99"/>
        <v>0.2968367510962604</v>
      </c>
      <c r="BZ24" s="231">
        <f t="shared" si="100"/>
        <v>0.30505589302452085</v>
      </c>
      <c r="CA24" s="231">
        <f t="shared" si="101"/>
        <v>0.24</v>
      </c>
      <c r="CB24" s="231">
        <f t="shared" si="102"/>
        <v>0.34134130439421412</v>
      </c>
      <c r="CC24" s="231">
        <f t="shared" si="103"/>
        <v>0.31145799074436559</v>
      </c>
      <c r="CD24" s="231">
        <f t="shared" si="104"/>
        <v>0.48</v>
      </c>
      <c r="CE24" s="231">
        <f t="shared" si="105"/>
        <v>0.46891089053671031</v>
      </c>
      <c r="CF24" s="231">
        <f t="shared" si="106"/>
        <v>0.34648573788677239</v>
      </c>
      <c r="CG24" s="231">
        <f t="shared" si="107"/>
        <v>8.4447268213351898E-2</v>
      </c>
      <c r="CH24" s="231">
        <f t="shared" si="6"/>
        <v>24.372509162541146</v>
      </c>
      <c r="CJ24" s="232">
        <f t="shared" si="108"/>
        <v>1.4346558407714944</v>
      </c>
      <c r="CK24" s="232">
        <f t="shared" si="109"/>
        <v>1.4346558407714944</v>
      </c>
      <c r="CL24" s="232">
        <f t="shared" si="110"/>
        <v>2.1</v>
      </c>
      <c r="CM24" s="232">
        <f t="shared" si="111"/>
        <v>1.8122384211761118</v>
      </c>
      <c r="CN24" s="232">
        <f t="shared" si="112"/>
        <v>1.8101269063534866</v>
      </c>
      <c r="CO24" s="232">
        <f t="shared" si="113"/>
        <v>1.4346558407714944</v>
      </c>
      <c r="CP24" s="232">
        <f t="shared" si="114"/>
        <v>1.4346558407714944</v>
      </c>
      <c r="CQ24" s="232">
        <f t="shared" si="115"/>
        <v>1.7349685294005086</v>
      </c>
      <c r="CR24" s="232">
        <f t="shared" si="116"/>
        <v>3.6935913056877818</v>
      </c>
      <c r="CS24" s="232">
        <f t="shared" si="117"/>
        <v>1.41</v>
      </c>
      <c r="CT24" s="232">
        <f t="shared" si="118"/>
        <v>1.3956472361547898</v>
      </c>
      <c r="CU24" s="232">
        <f t="shared" si="119"/>
        <v>1.7904723419871507</v>
      </c>
      <c r="CV24" s="232">
        <f t="shared" si="120"/>
        <v>0.67295449294505472</v>
      </c>
      <c r="CW24" s="232">
        <f t="shared" si="7"/>
        <v>37.58530512670071</v>
      </c>
      <c r="CY24" s="229">
        <f t="shared" si="8"/>
        <v>1.19</v>
      </c>
      <c r="CZ24" s="229">
        <f t="shared" si="9"/>
        <v>0.64534714649603619</v>
      </c>
      <c r="DA24" s="229">
        <f t="shared" si="10"/>
        <v>0.53640019079414192</v>
      </c>
      <c r="DB24" s="229">
        <f t="shared" si="11"/>
        <v>1.1239680052056102</v>
      </c>
      <c r="DC24" s="229">
        <f t="shared" si="12"/>
        <v>0.57999999999999996</v>
      </c>
      <c r="DD24" s="229">
        <f t="shared" si="13"/>
        <v>0.51607064151326298</v>
      </c>
      <c r="DE24" s="229">
        <f t="shared" si="14"/>
        <v>0.8</v>
      </c>
      <c r="DF24" s="229">
        <f t="shared" si="15"/>
        <v>0.77025514057272149</v>
      </c>
      <c r="DG24" s="229">
        <f t="shared" si="16"/>
        <v>0.28085589925601712</v>
      </c>
      <c r="DH24" s="229">
        <f t="shared" si="17"/>
        <v>36.462710141367879</v>
      </c>
      <c r="DJ24" s="234">
        <f t="shared" si="121"/>
        <v>0.10911207849137559</v>
      </c>
      <c r="DK24" s="234">
        <f t="shared" si="122"/>
        <v>0.14744875471807511</v>
      </c>
      <c r="DL24" s="234">
        <f t="shared" si="123"/>
        <v>0.1138690045725257</v>
      </c>
      <c r="DM24" s="234">
        <f t="shared" si="18"/>
        <v>0.12347661259399213</v>
      </c>
      <c r="DN24" s="234">
        <f t="shared" si="19"/>
        <v>2.0896286391325753E-2</v>
      </c>
      <c r="DO24" s="234">
        <f t="shared" si="20"/>
        <v>16.923274741942897</v>
      </c>
      <c r="DQ24" s="229">
        <f t="shared" si="124"/>
        <v>3.49</v>
      </c>
      <c r="DR24" s="229">
        <f t="shared" si="125"/>
        <v>3.7291873663951902</v>
      </c>
      <c r="DS24" s="229">
        <f t="shared" si="126"/>
        <v>2.9208732902192169</v>
      </c>
      <c r="DT24" s="229">
        <f t="shared" si="127"/>
        <v>2.5044016471576076</v>
      </c>
      <c r="DU24" s="229">
        <f t="shared" si="128"/>
        <v>3.7291873663951902</v>
      </c>
      <c r="DV24" s="229">
        <f t="shared" si="129"/>
        <v>1.97</v>
      </c>
      <c r="DW24" s="229">
        <f t="shared" si="130"/>
        <v>0.76600000000000001</v>
      </c>
      <c r="DX24" s="229">
        <f t="shared" si="131"/>
        <v>3.1700180018197517</v>
      </c>
      <c r="DY24" s="229">
        <f t="shared" si="21"/>
        <v>2.7849584589983691</v>
      </c>
      <c r="DZ24" s="229">
        <f t="shared" si="22"/>
        <v>1.0188247010476252</v>
      </c>
      <c r="EA24" s="229">
        <f t="shared" si="23"/>
        <v>36.583120216954804</v>
      </c>
      <c r="EC24" s="235">
        <f t="shared" si="132"/>
        <v>0.19974552649963104</v>
      </c>
      <c r="ED24" s="235">
        <f t="shared" si="133"/>
        <v>0.15</v>
      </c>
      <c r="EE24" s="235">
        <f t="shared" si="134"/>
        <v>0.16219363018988264</v>
      </c>
      <c r="EF24" s="235">
        <f t="shared" si="135"/>
        <v>0.1433379702533864</v>
      </c>
      <c r="EG24" s="235">
        <f t="shared" si="136"/>
        <v>0.16381928173572502</v>
      </c>
      <c r="EH24" s="235">
        <f t="shared" si="137"/>
        <v>2.5191231764991214E-2</v>
      </c>
      <c r="EI24" s="235">
        <f t="shared" si="24"/>
        <v>15.377452213244331</v>
      </c>
      <c r="EK24" s="236">
        <f t="shared" si="138"/>
        <v>20.705381659388649</v>
      </c>
      <c r="EL24" s="236">
        <f t="shared" si="139"/>
        <v>24.850537061478168</v>
      </c>
      <c r="EM24" s="236">
        <f t="shared" si="140"/>
        <v>24.850537061478168</v>
      </c>
      <c r="EN24" s="236">
        <f t="shared" si="141"/>
        <v>14.4</v>
      </c>
      <c r="EO24" s="236">
        <f t="shared" si="142"/>
        <v>24.712089931444876</v>
      </c>
      <c r="EP24" s="236">
        <f t="shared" si="143"/>
        <v>24.850537061478168</v>
      </c>
      <c r="EQ24" s="236">
        <f t="shared" si="144"/>
        <v>27.916835936394332</v>
      </c>
      <c r="ER24" s="236">
        <f t="shared" si="145"/>
        <v>23.183702673094622</v>
      </c>
      <c r="ES24" s="236">
        <f t="shared" si="146"/>
        <v>4.4039572437911136</v>
      </c>
      <c r="ET24" s="236">
        <f t="shared" si="25"/>
        <v>18.995918408244759</v>
      </c>
      <c r="EV24" s="238">
        <f t="shared" si="147"/>
        <v>1.4744875471807512E-2</v>
      </c>
      <c r="EW24" s="238">
        <f t="shared" si="148"/>
        <v>1.4744875471807512E-2</v>
      </c>
      <c r="EX24" s="238" t="e">
        <f t="shared" si="149"/>
        <v>#DIV/0!</v>
      </c>
      <c r="EY24" s="238" t="e">
        <f t="shared" si="26"/>
        <v>#DIV/0!</v>
      </c>
      <c r="FA24" s="240">
        <f t="shared" si="150"/>
        <v>0.45709113962603287</v>
      </c>
      <c r="FB24" s="240">
        <f t="shared" si="151"/>
        <v>0.61409001112747053</v>
      </c>
      <c r="FC24" s="240">
        <f t="shared" si="152"/>
        <v>0.5355905753767517</v>
      </c>
      <c r="FD24" s="240">
        <f t="shared" si="153"/>
        <v>0.11101496667730176</v>
      </c>
      <c r="FE24" s="240">
        <f t="shared" si="27"/>
        <v>20.727580316216404</v>
      </c>
      <c r="FG24" s="236">
        <f t="shared" si="154"/>
        <v>1.2</v>
      </c>
      <c r="FH24" s="236">
        <f t="shared" si="155"/>
        <v>1.3534457719587822</v>
      </c>
      <c r="FI24" s="236">
        <f t="shared" si="156"/>
        <v>1.2164522264241198</v>
      </c>
      <c r="FJ24" s="236">
        <f t="shared" si="157"/>
        <v>0.92</v>
      </c>
      <c r="FK24" s="236">
        <f t="shared" si="158"/>
        <v>1.1795900377446009</v>
      </c>
      <c r="FL24" s="236">
        <f t="shared" si="159"/>
        <v>0.9</v>
      </c>
      <c r="FM24" s="236">
        <f t="shared" si="160"/>
        <v>1.1282480060212505</v>
      </c>
      <c r="FN24" s="236">
        <f t="shared" si="161"/>
        <v>0.17985702955739297</v>
      </c>
      <c r="FO24" s="236">
        <f t="shared" si="28"/>
        <v>15.941267221172058</v>
      </c>
      <c r="FQ24" s="227">
        <f t="shared" si="162"/>
        <v>0.32</v>
      </c>
      <c r="FR24" s="227">
        <f t="shared" si="163"/>
        <v>0.33997554924765871</v>
      </c>
      <c r="FS24" s="227">
        <f t="shared" si="164"/>
        <v>0.33997554924765871</v>
      </c>
      <c r="FT24" s="227">
        <f t="shared" si="165"/>
        <v>0.24</v>
      </c>
      <c r="FU24" s="227">
        <f t="shared" si="166"/>
        <v>0.30720948045510948</v>
      </c>
      <c r="FV24" s="227">
        <f t="shared" si="29"/>
        <v>0.30943211579008534</v>
      </c>
      <c r="FW24" s="227">
        <f t="shared" si="30"/>
        <v>4.1240882757128103E-2</v>
      </c>
      <c r="FX24" s="227">
        <f t="shared" si="31"/>
        <v>13.327925788125164</v>
      </c>
      <c r="FZ24" s="230">
        <f t="shared" si="167"/>
        <v>1.548211924539789</v>
      </c>
      <c r="GA24" s="230">
        <f t="shared" si="168"/>
        <v>2.4700000000000002</v>
      </c>
      <c r="GB24" s="230">
        <f t="shared" si="169"/>
        <v>3.1660718332391888</v>
      </c>
      <c r="GC24" s="230">
        <f t="shared" si="170"/>
        <v>2.3947612525929927</v>
      </c>
      <c r="GD24" s="230">
        <f t="shared" si="171"/>
        <v>0.81154995094432703</v>
      </c>
      <c r="GE24" s="230">
        <f t="shared" si="32"/>
        <v>33.888553611162671</v>
      </c>
      <c r="GG24" s="231">
        <f t="shared" si="172"/>
        <v>0.10321412830265259</v>
      </c>
      <c r="GH24" s="231">
        <f t="shared" si="173"/>
        <v>0.05</v>
      </c>
      <c r="GI24" s="231">
        <f t="shared" si="174"/>
        <v>0.05</v>
      </c>
      <c r="GJ24" s="231">
        <f t="shared" si="175"/>
        <v>0.11442023366122629</v>
      </c>
      <c r="GK24" s="245">
        <f t="shared" si="186"/>
        <v>7.1473411220408775E-2</v>
      </c>
      <c r="GL24" s="231">
        <f t="shared" si="187"/>
        <v>3.7193039245567577E-2</v>
      </c>
      <c r="GM24" s="231">
        <f t="shared" si="33"/>
        <v>52.037587979216724</v>
      </c>
      <c r="GO24" s="246">
        <f t="shared" si="176"/>
        <v>0.18</v>
      </c>
      <c r="GP24" s="246">
        <f t="shared" si="177"/>
        <v>0.16956606792578638</v>
      </c>
      <c r="GQ24" s="247">
        <f t="shared" si="188"/>
        <v>0.17478303396289319</v>
      </c>
      <c r="GR24" s="246">
        <f t="shared" si="189"/>
        <v>7.3779041241162661E-3</v>
      </c>
      <c r="GS24" s="246">
        <f t="shared" si="34"/>
        <v>4.2211786560946249</v>
      </c>
      <c r="GU24" s="249">
        <f t="shared" si="178"/>
        <v>2.0886116105815342E-2</v>
      </c>
      <c r="GV24" s="249">
        <f t="shared" si="179"/>
        <v>2.0886116105815342E-2</v>
      </c>
      <c r="GW24" s="249" t="e">
        <f t="shared" si="180"/>
        <v>#DIV/0!</v>
      </c>
      <c r="GX24" s="249" t="e">
        <f t="shared" si="35"/>
        <v>#DIV/0!</v>
      </c>
      <c r="GZ24" s="240">
        <f t="shared" si="181"/>
        <v>2.2117313207711271E-2</v>
      </c>
      <c r="HA24" s="240">
        <f t="shared" si="182"/>
        <v>2.2117313207711271E-2</v>
      </c>
      <c r="HB24" s="240" t="e">
        <f t="shared" si="183"/>
        <v>#DIV/0!</v>
      </c>
      <c r="HC24" s="240" t="e">
        <f t="shared" si="36"/>
        <v>#DIV/0!</v>
      </c>
      <c r="HE24" s="234">
        <f t="shared" si="184"/>
        <v>8.7301809057254681E-2</v>
      </c>
      <c r="HF24" s="234">
        <f t="shared" si="185"/>
        <v>8.7301809057254681E-2</v>
      </c>
      <c r="HG24" s="251">
        <f t="shared" si="190"/>
        <v>8.7301809057254681E-2</v>
      </c>
      <c r="HH24" s="234">
        <f t="shared" si="191"/>
        <v>0</v>
      </c>
      <c r="HI24" s="234">
        <f t="shared" si="37"/>
        <v>0</v>
      </c>
    </row>
    <row r="25" spans="2:217" ht="15.6" x14ac:dyDescent="0.25">
      <c r="B25">
        <v>21</v>
      </c>
      <c r="C25" s="124">
        <f t="shared" si="38"/>
        <v>75.184088506865891</v>
      </c>
      <c r="D25" s="124">
        <f t="shared" si="39"/>
        <v>179.3331256648973</v>
      </c>
      <c r="E25" s="29">
        <f t="shared" si="40"/>
        <v>2.1442334000168013</v>
      </c>
      <c r="F25" s="29">
        <f t="shared" si="41"/>
        <v>1.9423051398766706</v>
      </c>
      <c r="G25" s="29">
        <f t="shared" si="42"/>
        <v>1.9392050045385756</v>
      </c>
      <c r="H25" s="29">
        <f t="shared" si="43"/>
        <v>1.9414786270511915</v>
      </c>
      <c r="I25" s="29">
        <f t="shared" si="44"/>
        <v>1.9657061602329657</v>
      </c>
      <c r="J25" s="29">
        <f t="shared" si="45"/>
        <v>1.9414786270511915</v>
      </c>
      <c r="K25" s="29">
        <f t="shared" si="46"/>
        <v>1.9352718436811791</v>
      </c>
      <c r="L25" s="125">
        <f t="shared" si="0"/>
        <v>1.9728112574926535</v>
      </c>
      <c r="M25" s="126">
        <f t="shared" si="1"/>
        <v>7.6232879886048405E-2</v>
      </c>
      <c r="N25" s="126">
        <f t="shared" si="47"/>
        <v>3.8641750241701613</v>
      </c>
      <c r="P25" s="138">
        <f t="shared" si="48"/>
        <v>414.29036407345723</v>
      </c>
      <c r="Q25" s="138">
        <f t="shared" si="49"/>
        <v>325.79239999999999</v>
      </c>
      <c r="R25" s="138">
        <f t="shared" si="50"/>
        <v>414.29036407345723</v>
      </c>
      <c r="S25" s="138">
        <f t="shared" si="51"/>
        <v>429.54279979286264</v>
      </c>
      <c r="T25" s="138">
        <f t="shared" si="52"/>
        <v>440.22145393171718</v>
      </c>
      <c r="U25" s="138">
        <f t="shared" si="53"/>
        <v>414.29036407345723</v>
      </c>
      <c r="V25" s="138">
        <f t="shared" si="54"/>
        <v>356.18358000000001</v>
      </c>
      <c r="W25" s="138">
        <f t="shared" si="55"/>
        <v>399.2301894207074</v>
      </c>
      <c r="X25" s="138">
        <f t="shared" si="56"/>
        <v>41.88413421396131</v>
      </c>
      <c r="Y25" s="138">
        <f t="shared" si="57"/>
        <v>10.491224191922008</v>
      </c>
      <c r="AA25" s="227">
        <f t="shared" si="58"/>
        <v>0.43300459515</v>
      </c>
      <c r="AB25" s="227">
        <f t="shared" si="59"/>
        <v>0.39784246575342463</v>
      </c>
      <c r="AC25" s="227">
        <f t="shared" si="60"/>
        <v>0.47</v>
      </c>
      <c r="AD25" s="227">
        <f t="shared" si="61"/>
        <v>0.43300459515</v>
      </c>
      <c r="AE25" s="227">
        <f t="shared" si="62"/>
        <v>0.43346291401335613</v>
      </c>
      <c r="AF25" s="227">
        <f t="shared" si="63"/>
        <v>2.9462943386537144E-2</v>
      </c>
      <c r="AG25" s="227">
        <f t="shared" si="64"/>
        <v>6.7971082263405158</v>
      </c>
      <c r="AI25" s="228">
        <f t="shared" si="65"/>
        <v>4.3996927251274736</v>
      </c>
      <c r="AJ25" s="228">
        <f t="shared" si="66"/>
        <v>4.3996927251274736</v>
      </c>
      <c r="AK25" s="228">
        <f t="shared" si="67"/>
        <v>4.3996927251274736</v>
      </c>
      <c r="AL25" s="228">
        <f t="shared" si="68"/>
        <v>6.7420345905011452</v>
      </c>
      <c r="AM25" s="228">
        <f t="shared" si="69"/>
        <v>4.28</v>
      </c>
      <c r="AN25" s="228">
        <f t="shared" si="70"/>
        <v>4.8869657529462831</v>
      </c>
      <c r="AO25" s="228">
        <f t="shared" si="71"/>
        <v>4.5166773065381687</v>
      </c>
      <c r="AP25" s="228">
        <f t="shared" si="72"/>
        <v>4.8035365464811459</v>
      </c>
      <c r="AQ25" s="228">
        <f t="shared" si="73"/>
        <v>0.87658269569385616</v>
      </c>
      <c r="AR25" s="228">
        <f t="shared" si="74"/>
        <v>18.248694211268177</v>
      </c>
      <c r="AT25" s="229">
        <f t="shared" si="75"/>
        <v>1.381220839813375</v>
      </c>
      <c r="AU25" s="229">
        <f t="shared" si="76"/>
        <v>1.47</v>
      </c>
      <c r="AV25" s="229">
        <f t="shared" si="77"/>
        <v>1.3828505400034925</v>
      </c>
      <c r="AW25" s="229">
        <f t="shared" si="78"/>
        <v>1.381220839813375</v>
      </c>
      <c r="AX25" s="229">
        <f t="shared" si="79"/>
        <v>0.41166737168836948</v>
      </c>
      <c r="AY25" s="229">
        <f t="shared" si="80"/>
        <v>1.3</v>
      </c>
      <c r="AZ25" s="229">
        <f t="shared" si="81"/>
        <v>1.2999943346414613</v>
      </c>
      <c r="BA25" s="229">
        <f t="shared" si="82"/>
        <v>1.2889020901169967</v>
      </c>
      <c r="BB25" s="229">
        <f t="shared" si="83"/>
        <v>1.2394820020096338</v>
      </c>
      <c r="BC25" s="229">
        <f t="shared" si="84"/>
        <v>0.33994042737171953</v>
      </c>
      <c r="BD25" s="229">
        <f t="shared" si="85"/>
        <v>27.426007543518761</v>
      </c>
      <c r="BF25" s="230">
        <f t="shared" si="86"/>
        <v>11.73</v>
      </c>
      <c r="BG25" s="230">
        <f t="shared" si="87"/>
        <v>6.27</v>
      </c>
      <c r="BH25" s="230">
        <f t="shared" si="88"/>
        <v>6.6141638598773875</v>
      </c>
      <c r="BI25" s="230">
        <f t="shared" si="2"/>
        <v>8.2047212866257961</v>
      </c>
      <c r="BJ25" s="230">
        <f t="shared" si="3"/>
        <v>3.0578267929754301</v>
      </c>
      <c r="BK25" s="230">
        <f t="shared" si="89"/>
        <v>37.269112333649616</v>
      </c>
      <c r="BM25" s="227">
        <f t="shared" si="90"/>
        <v>31.73</v>
      </c>
      <c r="BN25" s="227">
        <f t="shared" si="91"/>
        <v>24.056702266579919</v>
      </c>
      <c r="BO25" s="227">
        <f t="shared" si="92"/>
        <v>22.362077890521022</v>
      </c>
      <c r="BP25" s="227">
        <f t="shared" si="93"/>
        <v>24.056702266579919</v>
      </c>
      <c r="BQ25" s="227">
        <f t="shared" si="94"/>
        <v>15.17</v>
      </c>
      <c r="BR25" s="227">
        <f t="shared" si="95"/>
        <v>21.92604316325793</v>
      </c>
      <c r="BS25" s="227">
        <f t="shared" si="96"/>
        <v>19.95</v>
      </c>
      <c r="BT25" s="227">
        <f t="shared" si="4"/>
        <v>22.750217940991256</v>
      </c>
      <c r="BU25" s="227">
        <f t="shared" si="5"/>
        <v>5.0030179179890979</v>
      </c>
      <c r="BV25" s="227">
        <f t="shared" si="97"/>
        <v>21.991076880958925</v>
      </c>
      <c r="BX25" s="231">
        <f t="shared" si="98"/>
        <v>0.3336426428433068</v>
      </c>
      <c r="BY25" s="231">
        <f t="shared" si="99"/>
        <v>0.30156682679185953</v>
      </c>
      <c r="BZ25" s="231">
        <f t="shared" si="100"/>
        <v>0.30919576577997776</v>
      </c>
      <c r="CA25" s="231">
        <f t="shared" si="101"/>
        <v>0.24</v>
      </c>
      <c r="CB25" s="231">
        <f t="shared" si="102"/>
        <v>0.34765300196442306</v>
      </c>
      <c r="CC25" s="231">
        <f t="shared" si="103"/>
        <v>0.31655630394486683</v>
      </c>
      <c r="CD25" s="231">
        <f t="shared" si="104"/>
        <v>0.48</v>
      </c>
      <c r="CE25" s="231">
        <f t="shared" si="105"/>
        <v>0.47380704849700039</v>
      </c>
      <c r="CF25" s="231">
        <f t="shared" si="106"/>
        <v>0.35030269872767933</v>
      </c>
      <c r="CG25" s="231">
        <f t="shared" si="107"/>
        <v>8.4286723561756191E-2</v>
      </c>
      <c r="CH25" s="231">
        <f t="shared" si="6"/>
        <v>24.061111680809393</v>
      </c>
      <c r="CJ25" s="232">
        <f t="shared" si="108"/>
        <v>1.456764315937191</v>
      </c>
      <c r="CK25" s="232">
        <f t="shared" si="109"/>
        <v>1.456764315937191</v>
      </c>
      <c r="CL25" s="232">
        <f t="shared" si="110"/>
        <v>2.1</v>
      </c>
      <c r="CM25" s="232">
        <f t="shared" si="111"/>
        <v>1.8370562284079941</v>
      </c>
      <c r="CN25" s="232">
        <f t="shared" si="112"/>
        <v>1.8441127152507695</v>
      </c>
      <c r="CO25" s="232">
        <f t="shared" si="113"/>
        <v>1.456764315937191</v>
      </c>
      <c r="CP25" s="232">
        <f t="shared" si="114"/>
        <v>1.456764315937191</v>
      </c>
      <c r="CQ25" s="232">
        <f t="shared" si="115"/>
        <v>1.7681736898365408</v>
      </c>
      <c r="CR25" s="232">
        <f t="shared" si="116"/>
        <v>3.7667228341939811</v>
      </c>
      <c r="CS25" s="232">
        <f t="shared" si="117"/>
        <v>1.41</v>
      </c>
      <c r="CT25" s="232">
        <f t="shared" si="118"/>
        <v>1.4128950872886004</v>
      </c>
      <c r="CU25" s="232">
        <f t="shared" si="119"/>
        <v>1.8150925289751498</v>
      </c>
      <c r="CV25" s="232">
        <f t="shared" si="120"/>
        <v>0.68796934817121724</v>
      </c>
      <c r="CW25" s="232">
        <f t="shared" si="7"/>
        <v>37.902714996004264</v>
      </c>
      <c r="CY25" s="229">
        <f t="shared" si="8"/>
        <v>1.19</v>
      </c>
      <c r="CZ25" s="229">
        <f t="shared" si="9"/>
        <v>0.66254379018401988</v>
      </c>
      <c r="DA25" s="229">
        <f t="shared" si="10"/>
        <v>0.54140655211409938</v>
      </c>
      <c r="DB25" s="229">
        <f t="shared" si="11"/>
        <v>1.1412286002380307</v>
      </c>
      <c r="DC25" s="229">
        <f t="shared" si="12"/>
        <v>0.57999999999999996</v>
      </c>
      <c r="DD25" s="229">
        <f t="shared" si="13"/>
        <v>0.52628861954806128</v>
      </c>
      <c r="DE25" s="229">
        <f t="shared" si="14"/>
        <v>0.8</v>
      </c>
      <c r="DF25" s="229">
        <f t="shared" si="15"/>
        <v>0.77735250886917295</v>
      </c>
      <c r="DG25" s="229">
        <f t="shared" si="16"/>
        <v>0.28107807229017312</v>
      </c>
      <c r="DH25" s="229">
        <f t="shared" si="17"/>
        <v>36.158379767637442</v>
      </c>
      <c r="DJ25" s="234">
        <f t="shared" si="121"/>
        <v>0.11127245099016152</v>
      </c>
      <c r="DK25" s="234">
        <f t="shared" si="122"/>
        <v>0.15036817701373179</v>
      </c>
      <c r="DL25" s="234">
        <f t="shared" si="123"/>
        <v>0.11585075757894775</v>
      </c>
      <c r="DM25" s="234">
        <f t="shared" si="18"/>
        <v>0.12583046186094701</v>
      </c>
      <c r="DN25" s="234">
        <f t="shared" si="19"/>
        <v>2.1373226745033905E-2</v>
      </c>
      <c r="DO25" s="234">
        <f t="shared" si="20"/>
        <v>16.985733366101027</v>
      </c>
      <c r="DQ25" s="229">
        <f t="shared" si="124"/>
        <v>3.49</v>
      </c>
      <c r="DR25" s="229">
        <f t="shared" si="125"/>
        <v>3.7782443450519589</v>
      </c>
      <c r="DS25" s="229">
        <f t="shared" si="126"/>
        <v>2.95921688623898</v>
      </c>
      <c r="DT25" s="229">
        <f t="shared" si="127"/>
        <v>2.5411767792772735</v>
      </c>
      <c r="DU25" s="229">
        <f t="shared" si="128"/>
        <v>3.7782443450519589</v>
      </c>
      <c r="DV25" s="229">
        <f t="shared" si="129"/>
        <v>1.97</v>
      </c>
      <c r="DW25" s="229">
        <f t="shared" si="130"/>
        <v>0.80430000000000001</v>
      </c>
      <c r="DX25" s="229">
        <f t="shared" si="131"/>
        <v>3.305737510483691</v>
      </c>
      <c r="DY25" s="229">
        <f t="shared" si="21"/>
        <v>2.8283649832629831</v>
      </c>
      <c r="DZ25" s="229">
        <f t="shared" si="22"/>
        <v>1.0284118001634053</v>
      </c>
      <c r="EA25" s="229">
        <f t="shared" si="23"/>
        <v>36.360646742874167</v>
      </c>
      <c r="EC25" s="235">
        <f t="shared" si="132"/>
        <v>0.20308911143455369</v>
      </c>
      <c r="ED25" s="235">
        <f t="shared" si="133"/>
        <v>0.15</v>
      </c>
      <c r="EE25" s="235">
        <f t="shared" si="134"/>
        <v>0.16540499471510497</v>
      </c>
      <c r="EF25" s="235">
        <f t="shared" si="135"/>
        <v>0.14566004327324522</v>
      </c>
      <c r="EG25" s="235">
        <f t="shared" si="136"/>
        <v>0.16603853735572596</v>
      </c>
      <c r="EH25" s="235">
        <f t="shared" si="137"/>
        <v>2.6112986025021667E-2</v>
      </c>
      <c r="EI25" s="235">
        <f t="shared" si="24"/>
        <v>15.727063391962085</v>
      </c>
      <c r="EK25" s="236">
        <f t="shared" si="138"/>
        <v>20.705381659388649</v>
      </c>
      <c r="EL25" s="236">
        <f t="shared" si="139"/>
        <v>25.558544603513642</v>
      </c>
      <c r="EM25" s="236">
        <f t="shared" si="140"/>
        <v>25.558544603513642</v>
      </c>
      <c r="EN25" s="236">
        <f t="shared" si="141"/>
        <v>14.4</v>
      </c>
      <c r="EO25" s="236">
        <f t="shared" si="142"/>
        <v>25.495212715875851</v>
      </c>
      <c r="EP25" s="236">
        <f t="shared" si="143"/>
        <v>25.558544603513642</v>
      </c>
      <c r="EQ25" s="236">
        <f t="shared" si="144"/>
        <v>29.098164959796296</v>
      </c>
      <c r="ER25" s="236">
        <f t="shared" si="145"/>
        <v>23.767770449371675</v>
      </c>
      <c r="ES25" s="236">
        <f t="shared" si="146"/>
        <v>4.7984568166483523</v>
      </c>
      <c r="ET25" s="236">
        <f t="shared" si="25"/>
        <v>20.18892275516404</v>
      </c>
      <c r="EV25" s="238">
        <f t="shared" si="147"/>
        <v>1.5036817701373179E-2</v>
      </c>
      <c r="EW25" s="238">
        <f t="shared" si="148"/>
        <v>1.5036817701373179E-2</v>
      </c>
      <c r="EX25" s="238" t="e">
        <f t="shared" si="149"/>
        <v>#DIV/0!</v>
      </c>
      <c r="EY25" s="238" t="e">
        <f t="shared" si="26"/>
        <v>#DIV/0!</v>
      </c>
      <c r="FA25" s="240">
        <f t="shared" si="150"/>
        <v>0.46614134874256852</v>
      </c>
      <c r="FB25" s="240">
        <f t="shared" si="151"/>
        <v>0.62627836587551555</v>
      </c>
      <c r="FC25" s="240">
        <f t="shared" si="152"/>
        <v>0.54620985730904204</v>
      </c>
      <c r="FD25" s="240">
        <f t="shared" si="153"/>
        <v>0.11323397073369318</v>
      </c>
      <c r="FE25" s="240">
        <f t="shared" si="27"/>
        <v>20.730854490900576</v>
      </c>
      <c r="FG25" s="236">
        <f t="shared" si="154"/>
        <v>1.2</v>
      </c>
      <c r="FH25" s="236">
        <f t="shared" si="155"/>
        <v>1.37445983799742</v>
      </c>
      <c r="FI25" s="236">
        <f t="shared" si="156"/>
        <v>1.2405374603632873</v>
      </c>
      <c r="FJ25" s="236">
        <f t="shared" si="157"/>
        <v>0.92</v>
      </c>
      <c r="FK25" s="236">
        <f t="shared" si="158"/>
        <v>1.2029454161098543</v>
      </c>
      <c r="FL25" s="236">
        <f t="shared" si="159"/>
        <v>0.9</v>
      </c>
      <c r="FM25" s="236">
        <f t="shared" si="160"/>
        <v>1.139657119078427</v>
      </c>
      <c r="FN25" s="236">
        <f t="shared" si="161"/>
        <v>0.18901884380947714</v>
      </c>
      <c r="FO25" s="236">
        <f t="shared" si="28"/>
        <v>16.585588827131222</v>
      </c>
      <c r="FQ25" s="227">
        <f t="shared" si="162"/>
        <v>0.32</v>
      </c>
      <c r="FR25" s="227">
        <f t="shared" si="163"/>
        <v>0.34576533715283986</v>
      </c>
      <c r="FS25" s="227">
        <f t="shared" si="164"/>
        <v>0.34576533715283986</v>
      </c>
      <c r="FT25" s="227">
        <f t="shared" si="165"/>
        <v>0.24</v>
      </c>
      <c r="FU25" s="227">
        <f t="shared" si="166"/>
        <v>0.31329209680811015</v>
      </c>
      <c r="FV25" s="227">
        <f t="shared" si="29"/>
        <v>0.31296455422275798</v>
      </c>
      <c r="FW25" s="227">
        <f t="shared" si="30"/>
        <v>4.3373994731890401E-2</v>
      </c>
      <c r="FX25" s="227">
        <f t="shared" si="31"/>
        <v>13.859075779239269</v>
      </c>
      <c r="FZ25" s="230">
        <f t="shared" si="167"/>
        <v>1.5788658586441837</v>
      </c>
      <c r="GA25" s="230">
        <f t="shared" si="168"/>
        <v>2.4700000000000002</v>
      </c>
      <c r="GB25" s="230">
        <f t="shared" si="169"/>
        <v>3.2484077297064426</v>
      </c>
      <c r="GC25" s="230">
        <f t="shared" si="170"/>
        <v>2.4324245294502091</v>
      </c>
      <c r="GD25" s="230">
        <f t="shared" si="171"/>
        <v>0.8354049627562623</v>
      </c>
      <c r="GE25" s="230">
        <f t="shared" si="32"/>
        <v>34.344537832180364</v>
      </c>
      <c r="GG25" s="231">
        <f t="shared" si="172"/>
        <v>0.10525772390961224</v>
      </c>
      <c r="GH25" s="231">
        <f t="shared" si="173"/>
        <v>0.05</v>
      </c>
      <c r="GI25" s="231">
        <f t="shared" si="174"/>
        <v>0.05</v>
      </c>
      <c r="GJ25" s="231">
        <f t="shared" si="175"/>
        <v>0.11668570536265586</v>
      </c>
      <c r="GK25" s="245">
        <f t="shared" si="186"/>
        <v>7.2228568454218614E-2</v>
      </c>
      <c r="GL25" s="231">
        <f t="shared" si="187"/>
        <v>3.8501009942229443E-2</v>
      </c>
      <c r="GM25" s="231">
        <f t="shared" si="33"/>
        <v>53.30440678279944</v>
      </c>
      <c r="GO25" s="246">
        <f t="shared" si="176"/>
        <v>0.18</v>
      </c>
      <c r="GP25" s="246">
        <f t="shared" si="177"/>
        <v>0.17292340356579156</v>
      </c>
      <c r="GQ25" s="247">
        <f t="shared" si="188"/>
        <v>0.17646170178289577</v>
      </c>
      <c r="GR25" s="246">
        <f t="shared" si="189"/>
        <v>5.0039093263493277E-3</v>
      </c>
      <c r="GS25" s="246">
        <f t="shared" si="34"/>
        <v>2.8356914139396281</v>
      </c>
      <c r="GU25" s="249">
        <f t="shared" si="178"/>
        <v>2.1299652273995107E-2</v>
      </c>
      <c r="GV25" s="249">
        <f t="shared" si="179"/>
        <v>2.1299652273995107E-2</v>
      </c>
      <c r="GW25" s="249" t="e">
        <f t="shared" si="180"/>
        <v>#DIV/0!</v>
      </c>
      <c r="GX25" s="249" t="e">
        <f t="shared" si="35"/>
        <v>#DIV/0!</v>
      </c>
      <c r="GZ25" s="240">
        <f t="shared" si="181"/>
        <v>2.2555226552059771E-2</v>
      </c>
      <c r="HA25" s="240">
        <f t="shared" si="182"/>
        <v>2.2555226552059771E-2</v>
      </c>
      <c r="HB25" s="240" t="e">
        <f t="shared" si="183"/>
        <v>#DIV/0!</v>
      </c>
      <c r="HC25" s="240" t="e">
        <f t="shared" si="36"/>
        <v>#DIV/0!</v>
      </c>
      <c r="HE25" s="234">
        <f t="shared" si="184"/>
        <v>8.9038865323170388E-2</v>
      </c>
      <c r="HF25" s="234">
        <f t="shared" si="185"/>
        <v>8.9038865323170388E-2</v>
      </c>
      <c r="HG25" s="251">
        <f t="shared" si="190"/>
        <v>8.9038865323170388E-2</v>
      </c>
      <c r="HH25" s="234">
        <f t="shared" si="191"/>
        <v>0</v>
      </c>
      <c r="HI25" s="234">
        <f t="shared" si="37"/>
        <v>0</v>
      </c>
    </row>
    <row r="26" spans="2:217" ht="15.6" x14ac:dyDescent="0.25">
      <c r="B26">
        <v>22</v>
      </c>
      <c r="C26" s="124">
        <f t="shared" si="38"/>
        <v>76.278273722340558</v>
      </c>
      <c r="D26" s="124">
        <f t="shared" si="39"/>
        <v>180.31602175679186</v>
      </c>
      <c r="E26" s="29">
        <f t="shared" si="40"/>
        <v>2.1634252651250732</v>
      </c>
      <c r="F26" s="29">
        <f t="shared" si="41"/>
        <v>1.9613305130951777</v>
      </c>
      <c r="G26" s="29">
        <f t="shared" si="42"/>
        <v>1.9588968474713158</v>
      </c>
      <c r="H26" s="29">
        <f t="shared" si="43"/>
        <v>1.9604959043662009</v>
      </c>
      <c r="I26" s="29">
        <f t="shared" si="44"/>
        <v>1.9850824558664975</v>
      </c>
      <c r="J26" s="29">
        <f t="shared" si="45"/>
        <v>1.9604959043662009</v>
      </c>
      <c r="K26" s="29">
        <f t="shared" si="46"/>
        <v>1.9546379932020437</v>
      </c>
      <c r="L26" s="125">
        <f t="shared" si="0"/>
        <v>1.9920521262132156</v>
      </c>
      <c r="M26" s="126">
        <f t="shared" si="1"/>
        <v>7.6214419774919565E-2</v>
      </c>
      <c r="N26" s="126">
        <f t="shared" si="47"/>
        <v>3.8259249731481217</v>
      </c>
      <c r="P26" s="138">
        <f t="shared" si="48"/>
        <v>418.33094650477528</v>
      </c>
      <c r="Q26" s="138">
        <f t="shared" si="49"/>
        <v>325.79239999999999</v>
      </c>
      <c r="R26" s="138">
        <f t="shared" si="50"/>
        <v>418.33094650477528</v>
      </c>
      <c r="S26" s="138">
        <f t="shared" si="51"/>
        <v>432.65029764965959</v>
      </c>
      <c r="T26" s="138">
        <f t="shared" si="52"/>
        <v>445.2203957767299</v>
      </c>
      <c r="U26" s="138">
        <f t="shared" si="53"/>
        <v>418.33094650477528</v>
      </c>
      <c r="V26" s="138">
        <f t="shared" si="54"/>
        <v>352.71191999999996</v>
      </c>
      <c r="W26" s="138">
        <f t="shared" si="55"/>
        <v>401.62397899153075</v>
      </c>
      <c r="X26" s="138">
        <f t="shared" si="56"/>
        <v>44.428718534280662</v>
      </c>
      <c r="Y26" s="138">
        <f t="shared" si="57"/>
        <v>11.062267408893319</v>
      </c>
      <c r="AA26" s="227">
        <f t="shared" si="58"/>
        <v>0.43531041319999997</v>
      </c>
      <c r="AB26" s="227">
        <f t="shared" si="59"/>
        <v>0.39849337748344371</v>
      </c>
      <c r="AC26" s="227">
        <f t="shared" si="60"/>
        <v>0.47</v>
      </c>
      <c r="AD26" s="227">
        <f t="shared" si="61"/>
        <v>0.43531041319999997</v>
      </c>
      <c r="AE26" s="227">
        <f t="shared" si="62"/>
        <v>0.43477855097086093</v>
      </c>
      <c r="AF26" s="227">
        <f t="shared" si="63"/>
        <v>2.9198915742345496E-2</v>
      </c>
      <c r="AG26" s="227">
        <f t="shared" si="64"/>
        <v>6.715813297860322</v>
      </c>
      <c r="AI26" s="228">
        <f t="shared" si="65"/>
        <v>4.451589443747662</v>
      </c>
      <c r="AJ26" s="228">
        <f t="shared" si="66"/>
        <v>4.451589443747662</v>
      </c>
      <c r="AK26" s="228">
        <f t="shared" si="67"/>
        <v>4.451589443747662</v>
      </c>
      <c r="AL26" s="228">
        <f t="shared" si="68"/>
        <v>6.8401250118846324</v>
      </c>
      <c r="AM26" s="228">
        <f t="shared" si="69"/>
        <v>4.28</v>
      </c>
      <c r="AN26" s="228">
        <f t="shared" si="70"/>
        <v>4.9580877919521367</v>
      </c>
      <c r="AO26" s="228">
        <f t="shared" si="71"/>
        <v>4.5649609959690123</v>
      </c>
      <c r="AP26" s="228">
        <f t="shared" si="72"/>
        <v>4.8568488758641095</v>
      </c>
      <c r="AQ26" s="228">
        <f t="shared" si="73"/>
        <v>0.89947135694737668</v>
      </c>
      <c r="AR26" s="228">
        <f t="shared" si="74"/>
        <v>18.519648849221124</v>
      </c>
      <c r="AT26" s="229">
        <f t="shared" si="75"/>
        <v>1.3839617960803769</v>
      </c>
      <c r="AU26" s="229">
        <f t="shared" si="76"/>
        <v>1.47</v>
      </c>
      <c r="AV26" s="229">
        <f t="shared" si="77"/>
        <v>1.3866040818388072</v>
      </c>
      <c r="AW26" s="229">
        <f t="shared" si="78"/>
        <v>1.3839617960803769</v>
      </c>
      <c r="AX26" s="229">
        <f t="shared" si="79"/>
        <v>0.42627556776107645</v>
      </c>
      <c r="AY26" s="229">
        <f t="shared" si="80"/>
        <v>1.3</v>
      </c>
      <c r="AZ26" s="229">
        <f t="shared" si="81"/>
        <v>1.299996805692937</v>
      </c>
      <c r="BA26" s="229">
        <f t="shared" si="82"/>
        <v>1.2868545892491192</v>
      </c>
      <c r="BB26" s="229">
        <f t="shared" si="83"/>
        <v>1.2422068295878366</v>
      </c>
      <c r="BC26" s="229">
        <f t="shared" si="84"/>
        <v>0.33537744500959693</v>
      </c>
      <c r="BD26" s="229">
        <f t="shared" si="85"/>
        <v>26.998518847370605</v>
      </c>
      <c r="BF26" s="230">
        <f t="shared" si="86"/>
        <v>11.73</v>
      </c>
      <c r="BG26" s="230">
        <f t="shared" si="87"/>
        <v>6.27</v>
      </c>
      <c r="BH26" s="230">
        <f t="shared" si="88"/>
        <v>6.6144687153358266</v>
      </c>
      <c r="BI26" s="230">
        <f t="shared" si="2"/>
        <v>8.204822905111941</v>
      </c>
      <c r="BJ26" s="230">
        <f t="shared" si="3"/>
        <v>3.0577475102931313</v>
      </c>
      <c r="BK26" s="230">
        <f t="shared" si="89"/>
        <v>37.267684454079188</v>
      </c>
      <c r="BM26" s="227">
        <f t="shared" si="90"/>
        <v>31.73</v>
      </c>
      <c r="BN26" s="227">
        <f t="shared" si="91"/>
        <v>24.382033366279032</v>
      </c>
      <c r="BO26" s="227">
        <f t="shared" si="92"/>
        <v>22.478767170667346</v>
      </c>
      <c r="BP26" s="227">
        <f t="shared" si="93"/>
        <v>24.382033366279032</v>
      </c>
      <c r="BQ26" s="227">
        <f t="shared" si="94"/>
        <v>15.17</v>
      </c>
      <c r="BR26" s="227">
        <f t="shared" si="95"/>
        <v>22.246645817000537</v>
      </c>
      <c r="BS26" s="227">
        <f t="shared" si="96"/>
        <v>19.95</v>
      </c>
      <c r="BT26" s="227">
        <f t="shared" si="4"/>
        <v>22.905639960032278</v>
      </c>
      <c r="BU26" s="227">
        <f t="shared" si="5"/>
        <v>5.0236313545488223</v>
      </c>
      <c r="BV26" s="227">
        <f t="shared" si="97"/>
        <v>21.93185330475151</v>
      </c>
      <c r="BX26" s="231">
        <f t="shared" si="98"/>
        <v>0.33771461744139991</v>
      </c>
      <c r="BY26" s="231">
        <f t="shared" si="99"/>
        <v>0.30501335817599884</v>
      </c>
      <c r="BZ26" s="231">
        <f t="shared" si="100"/>
        <v>0.31232157306816893</v>
      </c>
      <c r="CA26" s="231">
        <f t="shared" si="101"/>
        <v>0.24</v>
      </c>
      <c r="CB26" s="231">
        <f t="shared" si="102"/>
        <v>0.35234918981516505</v>
      </c>
      <c r="CC26" s="231">
        <f t="shared" si="103"/>
        <v>0.32042981668834053</v>
      </c>
      <c r="CD26" s="231">
        <f t="shared" si="104"/>
        <v>0.48</v>
      </c>
      <c r="CE26" s="231">
        <f t="shared" si="105"/>
        <v>0.47753549106246501</v>
      </c>
      <c r="CF26" s="231">
        <f t="shared" si="106"/>
        <v>0.35317050578144227</v>
      </c>
      <c r="CG26" s="231">
        <f t="shared" si="107"/>
        <v>8.4226897199007236E-2</v>
      </c>
      <c r="CH26" s="231">
        <f t="shared" si="6"/>
        <v>23.848791396847453</v>
      </c>
      <c r="CJ26" s="232">
        <f t="shared" si="108"/>
        <v>1.4732746963775136</v>
      </c>
      <c r="CK26" s="232">
        <f t="shared" si="109"/>
        <v>1.4732746963775136</v>
      </c>
      <c r="CL26" s="232">
        <f t="shared" si="110"/>
        <v>2.1</v>
      </c>
      <c r="CM26" s="232">
        <f t="shared" si="111"/>
        <v>1.8538560969432929</v>
      </c>
      <c r="CN26" s="232">
        <f t="shared" si="112"/>
        <v>1.8688340866295825</v>
      </c>
      <c r="CO26" s="232">
        <f t="shared" si="113"/>
        <v>1.4732746963775136</v>
      </c>
      <c r="CP26" s="232">
        <f t="shared" si="114"/>
        <v>1.4732746963775136</v>
      </c>
      <c r="CQ26" s="232">
        <f t="shared" si="115"/>
        <v>1.7929959008280032</v>
      </c>
      <c r="CR26" s="232">
        <f t="shared" si="116"/>
        <v>3.8215415134892616</v>
      </c>
      <c r="CS26" s="232">
        <f t="shared" si="117"/>
        <v>1.41</v>
      </c>
      <c r="CT26" s="232">
        <f t="shared" si="118"/>
        <v>1.4259806799059629</v>
      </c>
      <c r="CU26" s="232">
        <f t="shared" si="119"/>
        <v>1.8333006421187419</v>
      </c>
      <c r="CV26" s="232">
        <f t="shared" si="120"/>
        <v>0.6993645434476542</v>
      </c>
      <c r="CW26" s="232">
        <f t="shared" si="7"/>
        <v>38.14783715121596</v>
      </c>
      <c r="CY26" s="229">
        <f t="shared" si="8"/>
        <v>1.19</v>
      </c>
      <c r="CZ26" s="229">
        <f t="shared" si="9"/>
        <v>0.67581683858136909</v>
      </c>
      <c r="DA26" s="229">
        <f t="shared" si="10"/>
        <v>0.54521114714665142</v>
      </c>
      <c r="DB26" s="229">
        <f t="shared" si="11"/>
        <v>1.1540398268217904</v>
      </c>
      <c r="DC26" s="229">
        <f t="shared" si="12"/>
        <v>0.57999999999999996</v>
      </c>
      <c r="DD26" s="229">
        <f t="shared" si="13"/>
        <v>0.53394791605638392</v>
      </c>
      <c r="DE26" s="229">
        <f t="shared" si="14"/>
        <v>0.8</v>
      </c>
      <c r="DF26" s="229">
        <f t="shared" si="15"/>
        <v>0.78271653265802776</v>
      </c>
      <c r="DG26" s="229">
        <f t="shared" si="16"/>
        <v>0.28132889997340249</v>
      </c>
      <c r="DH26" s="229">
        <f t="shared" si="17"/>
        <v>35.942629066239022</v>
      </c>
      <c r="DJ26" s="234">
        <f t="shared" si="121"/>
        <v>0.11289184510906403</v>
      </c>
      <c r="DK26" s="234">
        <f t="shared" si="122"/>
        <v>0.15255654744468111</v>
      </c>
      <c r="DL26" s="234">
        <f t="shared" si="123"/>
        <v>0.1173558297205176</v>
      </c>
      <c r="DM26" s="234">
        <f t="shared" si="18"/>
        <v>0.12760140742475426</v>
      </c>
      <c r="DN26" s="234">
        <f t="shared" si="19"/>
        <v>2.1726735827395687E-2</v>
      </c>
      <c r="DO26" s="234">
        <f t="shared" si="20"/>
        <v>17.02703462750425</v>
      </c>
      <c r="DQ26" s="229">
        <f t="shared" si="124"/>
        <v>3.49</v>
      </c>
      <c r="DR26" s="229">
        <f t="shared" si="125"/>
        <v>3.8151705455034772</v>
      </c>
      <c r="DS26" s="229">
        <f t="shared" si="126"/>
        <v>2.9880781893198232</v>
      </c>
      <c r="DT26" s="229">
        <f t="shared" si="127"/>
        <v>2.5690970752997782</v>
      </c>
      <c r="DU26" s="229">
        <f t="shared" si="128"/>
        <v>3.8151705455034772</v>
      </c>
      <c r="DV26" s="229">
        <f t="shared" si="129"/>
        <v>1.97</v>
      </c>
      <c r="DW26" s="229">
        <f t="shared" si="130"/>
        <v>0.84260000000000002</v>
      </c>
      <c r="DX26" s="229">
        <f t="shared" si="131"/>
        <v>3.4117133815237168</v>
      </c>
      <c r="DY26" s="229">
        <f t="shared" si="21"/>
        <v>2.8627287171437845</v>
      </c>
      <c r="DZ26" s="229">
        <f t="shared" si="22"/>
        <v>1.03433628990822</v>
      </c>
      <c r="EA26" s="229">
        <f t="shared" si="23"/>
        <v>36.131131941143309</v>
      </c>
      <c r="EC26" s="235">
        <f t="shared" si="132"/>
        <v>0.20557986502942666</v>
      </c>
      <c r="ED26" s="235">
        <f t="shared" si="133"/>
        <v>0.15</v>
      </c>
      <c r="EE26" s="235">
        <f t="shared" si="134"/>
        <v>0.16781220218914925</v>
      </c>
      <c r="EF26" s="235">
        <f t="shared" si="135"/>
        <v>0.1474235765700562</v>
      </c>
      <c r="EG26" s="235">
        <f t="shared" si="136"/>
        <v>0.16770391094715803</v>
      </c>
      <c r="EH26" s="235">
        <f t="shared" si="137"/>
        <v>2.6828592023605262E-2</v>
      </c>
      <c r="EI26" s="235">
        <f t="shared" si="24"/>
        <v>15.997594732336747</v>
      </c>
      <c r="EK26" s="236">
        <f t="shared" si="138"/>
        <v>20.705381659388649</v>
      </c>
      <c r="EL26" s="236">
        <f t="shared" si="139"/>
        <v>26.153601761795915</v>
      </c>
      <c r="EM26" s="236">
        <f t="shared" si="140"/>
        <v>26.153601761795915</v>
      </c>
      <c r="EN26" s="236">
        <f t="shared" si="141"/>
        <v>14.4</v>
      </c>
      <c r="EO26" s="236">
        <f t="shared" si="142"/>
        <v>26.110874817778402</v>
      </c>
      <c r="EP26" s="236">
        <f t="shared" si="143"/>
        <v>26.153601761795915</v>
      </c>
      <c r="EQ26" s="236">
        <f t="shared" si="144"/>
        <v>29.995705281114521</v>
      </c>
      <c r="ER26" s="236">
        <f t="shared" si="145"/>
        <v>24.238966720524189</v>
      </c>
      <c r="ES26" s="236">
        <f t="shared" si="146"/>
        <v>5.1142456321405669</v>
      </c>
      <c r="ET26" s="236">
        <f t="shared" si="25"/>
        <v>21.099272469441168</v>
      </c>
      <c r="EV26" s="238">
        <f t="shared" si="147"/>
        <v>1.5255654744468113E-2</v>
      </c>
      <c r="EW26" s="238">
        <f t="shared" si="148"/>
        <v>1.5255654744468113E-2</v>
      </c>
      <c r="EX26" s="238" t="e">
        <f t="shared" si="149"/>
        <v>#DIV/0!</v>
      </c>
      <c r="EY26" s="238" t="e">
        <f t="shared" si="26"/>
        <v>#DIV/0!</v>
      </c>
      <c r="FA26" s="240">
        <f t="shared" si="150"/>
        <v>0.47292529707851144</v>
      </c>
      <c r="FB26" s="240">
        <f t="shared" si="151"/>
        <v>0.63539726280596409</v>
      </c>
      <c r="FC26" s="240">
        <f t="shared" si="152"/>
        <v>0.55416127994223774</v>
      </c>
      <c r="FD26" s="240">
        <f t="shared" si="153"/>
        <v>0.11488502871859067</v>
      </c>
      <c r="FE26" s="240">
        <f t="shared" si="27"/>
        <v>20.731334518818343</v>
      </c>
      <c r="FG26" s="236">
        <f t="shared" si="154"/>
        <v>1.2</v>
      </c>
      <c r="FH26" s="236">
        <f t="shared" si="155"/>
        <v>1.389160156273932</v>
      </c>
      <c r="FI26" s="236">
        <f t="shared" si="156"/>
        <v>1.2585915164186192</v>
      </c>
      <c r="FJ26" s="236">
        <f t="shared" si="157"/>
        <v>0.92</v>
      </c>
      <c r="FK26" s="236">
        <f t="shared" si="158"/>
        <v>1.2204523795574489</v>
      </c>
      <c r="FL26" s="236">
        <f t="shared" si="159"/>
        <v>0.9</v>
      </c>
      <c r="FM26" s="236">
        <f t="shared" si="160"/>
        <v>1.1480340087083334</v>
      </c>
      <c r="FN26" s="236">
        <f t="shared" si="161"/>
        <v>0.19587243034272053</v>
      </c>
      <c r="FO26" s="236">
        <f t="shared" si="28"/>
        <v>17.061552955482469</v>
      </c>
      <c r="FQ26" s="227">
        <f t="shared" si="162"/>
        <v>0.32</v>
      </c>
      <c r="FR26" s="227">
        <f t="shared" si="163"/>
        <v>0.35016076275419833</v>
      </c>
      <c r="FS26" s="227">
        <f t="shared" si="164"/>
        <v>0.35016076275419833</v>
      </c>
      <c r="FT26" s="227">
        <f t="shared" si="165"/>
        <v>0.24</v>
      </c>
      <c r="FU26" s="227">
        <f t="shared" si="166"/>
        <v>0.31785156660099306</v>
      </c>
      <c r="FV26" s="227">
        <f t="shared" si="29"/>
        <v>0.31563461842187795</v>
      </c>
      <c r="FW26" s="227">
        <f t="shared" si="30"/>
        <v>4.507958574645244E-2</v>
      </c>
      <c r="FX26" s="227">
        <f t="shared" si="31"/>
        <v>14.282205789670055</v>
      </c>
      <c r="FZ26" s="230">
        <f t="shared" si="167"/>
        <v>1.6018437481691519</v>
      </c>
      <c r="GA26" s="230">
        <f t="shared" si="168"/>
        <v>2.4700000000000002</v>
      </c>
      <c r="GB26" s="230">
        <f t="shared" si="169"/>
        <v>3.3130832621217872</v>
      </c>
      <c r="GC26" s="230">
        <f t="shared" si="170"/>
        <v>2.4616423367636462</v>
      </c>
      <c r="GD26" s="230">
        <f t="shared" si="171"/>
        <v>0.85565037043718595</v>
      </c>
      <c r="GE26" s="230">
        <f t="shared" si="32"/>
        <v>34.759329479282556</v>
      </c>
      <c r="GG26" s="231">
        <f t="shared" si="172"/>
        <v>0.10678958321127678</v>
      </c>
      <c r="GH26" s="231">
        <f t="shared" si="173"/>
        <v>0.05</v>
      </c>
      <c r="GI26" s="231">
        <f t="shared" si="174"/>
        <v>0.05</v>
      </c>
      <c r="GJ26" s="231">
        <f t="shared" si="175"/>
        <v>0.11838388081707255</v>
      </c>
      <c r="GK26" s="245">
        <f t="shared" si="186"/>
        <v>7.2794626939024179E-2</v>
      </c>
      <c r="GL26" s="231">
        <f t="shared" si="187"/>
        <v>3.9481451997968119E-2</v>
      </c>
      <c r="GM26" s="231">
        <f t="shared" si="33"/>
        <v>54.236766720488085</v>
      </c>
      <c r="GO26" s="246">
        <f t="shared" si="176"/>
        <v>0.18</v>
      </c>
      <c r="GP26" s="246">
        <f t="shared" si="177"/>
        <v>0.17544002956138327</v>
      </c>
      <c r="GQ26" s="247">
        <f t="shared" si="188"/>
        <v>0.17772001478069163</v>
      </c>
      <c r="GR26" s="246">
        <f t="shared" si="189"/>
        <v>3.22438601915608E-3</v>
      </c>
      <c r="GS26" s="246">
        <f t="shared" si="34"/>
        <v>1.8143066345875598</v>
      </c>
      <c r="GU26" s="249">
        <f t="shared" si="178"/>
        <v>2.160963494553908E-2</v>
      </c>
      <c r="GV26" s="249">
        <f t="shared" si="179"/>
        <v>2.160963494553908E-2</v>
      </c>
      <c r="GW26" s="249" t="e">
        <f t="shared" si="180"/>
        <v>#DIV/0!</v>
      </c>
      <c r="GX26" s="249" t="e">
        <f t="shared" si="35"/>
        <v>#DIV/0!</v>
      </c>
      <c r="GZ26" s="240">
        <f t="shared" si="181"/>
        <v>2.2883482116702169E-2</v>
      </c>
      <c r="HA26" s="240">
        <f t="shared" si="182"/>
        <v>2.2883482116702169E-2</v>
      </c>
      <c r="HB26" s="240" t="e">
        <f t="shared" si="183"/>
        <v>#DIV/0!</v>
      </c>
      <c r="HC26" s="240" t="e">
        <f t="shared" si="36"/>
        <v>#DIV/0!</v>
      </c>
      <c r="HE26" s="234">
        <f t="shared" si="184"/>
        <v>9.0340945729585245E-2</v>
      </c>
      <c r="HF26" s="234">
        <f t="shared" si="185"/>
        <v>9.0340945729585245E-2</v>
      </c>
      <c r="HG26" s="251">
        <f t="shared" si="190"/>
        <v>9.0340945729585245E-2</v>
      </c>
      <c r="HH26" s="234">
        <f t="shared" si="191"/>
        <v>0</v>
      </c>
      <c r="HI26" s="234">
        <f t="shared" si="37"/>
        <v>0</v>
      </c>
    </row>
    <row r="27" spans="2:217" ht="15.6" x14ac:dyDescent="0.25">
      <c r="B27">
        <v>23</v>
      </c>
      <c r="C27" s="124">
        <f t="shared" si="38"/>
        <v>77.063445861378824</v>
      </c>
      <c r="D27" s="124">
        <f t="shared" si="39"/>
        <v>181.0294778510933</v>
      </c>
      <c r="E27" s="29">
        <f t="shared" si="40"/>
        <v>2.1772167482846321</v>
      </c>
      <c r="F27" s="29">
        <f t="shared" si="41"/>
        <v>1.9749904726250078</v>
      </c>
      <c r="G27" s="29">
        <f t="shared" si="42"/>
        <v>1.9730820500689847</v>
      </c>
      <c r="H27" s="29">
        <f t="shared" si="43"/>
        <v>1.9741500511472949</v>
      </c>
      <c r="I27" s="29">
        <f t="shared" si="44"/>
        <v>1.9989944071731465</v>
      </c>
      <c r="J27" s="29">
        <f t="shared" si="45"/>
        <v>1.9741500511472951</v>
      </c>
      <c r="K27" s="29">
        <f t="shared" si="46"/>
        <v>1.9685552630808127</v>
      </c>
      <c r="L27" s="125">
        <f t="shared" si="0"/>
        <v>2.0058770062181677</v>
      </c>
      <c r="M27" s="126">
        <f t="shared" si="1"/>
        <v>7.6201789517694782E-2</v>
      </c>
      <c r="N27" s="126">
        <f t="shared" si="47"/>
        <v>3.7989263190849276</v>
      </c>
      <c r="P27" s="138">
        <f t="shared" si="48"/>
        <v>421.23417130581521</v>
      </c>
      <c r="Q27" s="138">
        <f t="shared" si="49"/>
        <v>325.79239999999999</v>
      </c>
      <c r="R27" s="138">
        <f t="shared" si="50"/>
        <v>421.23417130581521</v>
      </c>
      <c r="S27" s="138">
        <f t="shared" si="51"/>
        <v>434.27161631428504</v>
      </c>
      <c r="T27" s="138">
        <f t="shared" si="52"/>
        <v>448.79791044454367</v>
      </c>
      <c r="U27" s="138">
        <f t="shared" si="53"/>
        <v>421.23417130581521</v>
      </c>
      <c r="V27" s="138">
        <f t="shared" si="54"/>
        <v>349.29701999999997</v>
      </c>
      <c r="W27" s="138">
        <f t="shared" si="55"/>
        <v>403.12306581089632</v>
      </c>
      <c r="X27" s="138">
        <f t="shared" si="56"/>
        <v>46.399955351823593</v>
      </c>
      <c r="Y27" s="138">
        <f t="shared" si="57"/>
        <v>11.510121669294323</v>
      </c>
      <c r="AA27" s="227">
        <f t="shared" si="58"/>
        <v>0.43742042305000001</v>
      </c>
      <c r="AB27" s="227">
        <f t="shared" si="59"/>
        <v>0.39910256410256406</v>
      </c>
      <c r="AC27" s="227">
        <f t="shared" si="60"/>
        <v>0.47</v>
      </c>
      <c r="AD27" s="227">
        <f t="shared" si="61"/>
        <v>0.43742042305000001</v>
      </c>
      <c r="AE27" s="227">
        <f t="shared" si="62"/>
        <v>0.43598585255064104</v>
      </c>
      <c r="AF27" s="227">
        <f t="shared" si="63"/>
        <v>2.8991120355987405E-2</v>
      </c>
      <c r="AG27" s="227">
        <f t="shared" si="64"/>
        <v>6.649555297810954</v>
      </c>
      <c r="AI27" s="228">
        <f t="shared" si="65"/>
        <v>4.4889426323038881</v>
      </c>
      <c r="AJ27" s="228">
        <f t="shared" si="66"/>
        <v>4.4889426323038881</v>
      </c>
      <c r="AK27" s="228">
        <f t="shared" si="67"/>
        <v>4.4889426323038881</v>
      </c>
      <c r="AL27" s="228">
        <f t="shared" si="68"/>
        <v>6.9105128219361065</v>
      </c>
      <c r="AM27" s="228">
        <f t="shared" si="69"/>
        <v>4.28</v>
      </c>
      <c r="AN27" s="228">
        <f t="shared" si="70"/>
        <v>5.0091239809896235</v>
      </c>
      <c r="AO27" s="228">
        <f t="shared" si="71"/>
        <v>4.5996536193776665</v>
      </c>
      <c r="AP27" s="228">
        <f t="shared" si="72"/>
        <v>4.895159759887866</v>
      </c>
      <c r="AQ27" s="228">
        <f t="shared" si="73"/>
        <v>0.91609845557949598</v>
      </c>
      <c r="AR27" s="228">
        <f t="shared" si="74"/>
        <v>18.714372983007223</v>
      </c>
      <c r="AT27" s="229">
        <f t="shared" si="75"/>
        <v>1.3864771646051379</v>
      </c>
      <c r="AU27" s="229">
        <f t="shared" si="76"/>
        <v>1.47</v>
      </c>
      <c r="AV27" s="229">
        <f t="shared" si="77"/>
        <v>1.38926549158441</v>
      </c>
      <c r="AW27" s="229">
        <f t="shared" si="78"/>
        <v>1.3864771646051379</v>
      </c>
      <c r="AX27" s="229">
        <f t="shared" si="79"/>
        <v>0.44207829487661215</v>
      </c>
      <c r="AY27" s="229">
        <f t="shared" si="80"/>
        <v>1.3</v>
      </c>
      <c r="AZ27" s="229">
        <f t="shared" si="81"/>
        <v>1.2999981989493616</v>
      </c>
      <c r="BA27" s="229">
        <f t="shared" si="82"/>
        <v>1.2848103409391829</v>
      </c>
      <c r="BB27" s="229">
        <f t="shared" si="83"/>
        <v>1.2448883319449804</v>
      </c>
      <c r="BC27" s="229">
        <f t="shared" si="84"/>
        <v>0.3303216913004417</v>
      </c>
      <c r="BD27" s="229">
        <f t="shared" si="85"/>
        <v>26.534242696640582</v>
      </c>
      <c r="BF27" s="230">
        <f t="shared" si="86"/>
        <v>11.73</v>
      </c>
      <c r="BG27" s="230">
        <f t="shared" si="87"/>
        <v>6.27</v>
      </c>
      <c r="BH27" s="230">
        <f t="shared" si="88"/>
        <v>6.6145808761777154</v>
      </c>
      <c r="BI27" s="230">
        <f t="shared" si="2"/>
        <v>8.2048602920592391</v>
      </c>
      <c r="BJ27" s="230">
        <f t="shared" si="3"/>
        <v>3.0577183430512949</v>
      </c>
      <c r="BK27" s="230">
        <f t="shared" si="89"/>
        <v>37.267159149688275</v>
      </c>
      <c r="BM27" s="227">
        <f t="shared" si="90"/>
        <v>31.73</v>
      </c>
      <c r="BN27" s="227">
        <f t="shared" si="91"/>
        <v>24.616599164466962</v>
      </c>
      <c r="BO27" s="227">
        <f t="shared" si="92"/>
        <v>22.559676901829395</v>
      </c>
      <c r="BP27" s="227">
        <f t="shared" si="93"/>
        <v>24.616599164466962</v>
      </c>
      <c r="BQ27" s="227">
        <f t="shared" si="94"/>
        <v>15.17</v>
      </c>
      <c r="BR27" s="227">
        <f t="shared" si="95"/>
        <v>22.476724669940218</v>
      </c>
      <c r="BS27" s="227">
        <f t="shared" si="96"/>
        <v>19.95</v>
      </c>
      <c r="BT27" s="227">
        <f t="shared" si="4"/>
        <v>23.017085700100502</v>
      </c>
      <c r="BU27" s="227">
        <f t="shared" si="5"/>
        <v>5.0417712458174098</v>
      </c>
      <c r="BV27" s="227">
        <f t="shared" si="97"/>
        <v>21.904472666560888</v>
      </c>
      <c r="BX27" s="231">
        <f t="shared" si="98"/>
        <v>0.34065719074570977</v>
      </c>
      <c r="BY27" s="231">
        <f t="shared" si="99"/>
        <v>0.30737479014223174</v>
      </c>
      <c r="BZ27" s="231">
        <f t="shared" si="100"/>
        <v>0.31457818339517463</v>
      </c>
      <c r="CA27" s="231">
        <f t="shared" si="101"/>
        <v>0.24</v>
      </c>
      <c r="CB27" s="231">
        <f t="shared" si="102"/>
        <v>0.35568180152857237</v>
      </c>
      <c r="CC27" s="231">
        <f t="shared" si="103"/>
        <v>0.32322898917881454</v>
      </c>
      <c r="CD27" s="231">
        <f t="shared" si="104"/>
        <v>0.48</v>
      </c>
      <c r="CE27" s="231">
        <f t="shared" si="105"/>
        <v>0.48022279270256218</v>
      </c>
      <c r="CF27" s="231">
        <f t="shared" si="106"/>
        <v>0.35521796846163317</v>
      </c>
      <c r="CG27" s="231">
        <f t="shared" si="107"/>
        <v>8.4217430975749713E-2</v>
      </c>
      <c r="CH27" s="231">
        <f t="shared" si="6"/>
        <v>23.70866297684093</v>
      </c>
      <c r="CJ27" s="232">
        <f t="shared" si="108"/>
        <v>1.506396838455224</v>
      </c>
      <c r="CK27" s="232">
        <f t="shared" si="109"/>
        <v>1.506396838455224</v>
      </c>
      <c r="CL27" s="232">
        <f t="shared" si="110"/>
        <v>2.1</v>
      </c>
      <c r="CM27" s="232">
        <f t="shared" si="111"/>
        <v>1.8640538249667697</v>
      </c>
      <c r="CN27" s="232">
        <f t="shared" si="112"/>
        <v>1.885723367079577</v>
      </c>
      <c r="CO27" s="232">
        <f t="shared" si="113"/>
        <v>1.4850902039198359</v>
      </c>
      <c r="CP27" s="232">
        <f t="shared" si="114"/>
        <v>1.5073457038919826</v>
      </c>
      <c r="CQ27" s="232">
        <f t="shared" si="115"/>
        <v>1.8107621537939182</v>
      </c>
      <c r="CR27" s="232">
        <f t="shared" si="116"/>
        <v>3.860878637655079</v>
      </c>
      <c r="CS27" s="232">
        <f t="shared" si="117"/>
        <v>1.41</v>
      </c>
      <c r="CT27" s="232">
        <f t="shared" si="118"/>
        <v>1.4354230164275088</v>
      </c>
      <c r="CU27" s="232">
        <f t="shared" si="119"/>
        <v>1.8520064167859198</v>
      </c>
      <c r="CV27" s="232">
        <f t="shared" si="120"/>
        <v>0.70436307090763761</v>
      </c>
      <c r="CW27" s="232">
        <f t="shared" si="7"/>
        <v>38.032431449672323</v>
      </c>
      <c r="CY27" s="229">
        <f t="shared" si="8"/>
        <v>1.19</v>
      </c>
      <c r="CZ27" s="229">
        <f t="shared" si="9"/>
        <v>0.68572412152062046</v>
      </c>
      <c r="DA27" s="229">
        <f t="shared" si="10"/>
        <v>0.54794917297016055</v>
      </c>
      <c r="DB27" s="229">
        <f t="shared" si="11"/>
        <v>1.1631658447162967</v>
      </c>
      <c r="DC27" s="229">
        <f t="shared" si="12"/>
        <v>0.57999999999999996</v>
      </c>
      <c r="DD27" s="229">
        <f t="shared" si="13"/>
        <v>0.53944412102965178</v>
      </c>
      <c r="DE27" s="229">
        <f t="shared" si="14"/>
        <v>0.8</v>
      </c>
      <c r="DF27" s="229">
        <f t="shared" si="15"/>
        <v>0.78661189431953271</v>
      </c>
      <c r="DG27" s="229">
        <f t="shared" si="16"/>
        <v>0.28154712542994553</v>
      </c>
      <c r="DH27" s="229">
        <f t="shared" si="17"/>
        <v>35.792380901321224</v>
      </c>
      <c r="DJ27" s="234">
        <f t="shared" si="121"/>
        <v>0.11405389987484066</v>
      </c>
      <c r="DK27" s="234">
        <f t="shared" si="122"/>
        <v>0.15412689172275765</v>
      </c>
      <c r="DL27" s="234">
        <f t="shared" si="123"/>
        <v>0.11844323232410175</v>
      </c>
      <c r="DM27" s="234">
        <f t="shared" si="18"/>
        <v>0.12887467464056671</v>
      </c>
      <c r="DN27" s="234">
        <f t="shared" si="19"/>
        <v>2.1978908310289234E-2</v>
      </c>
      <c r="DO27" s="234">
        <f t="shared" si="20"/>
        <v>17.054482094010108</v>
      </c>
      <c r="DQ27" s="229">
        <f t="shared" si="124"/>
        <v>3.49</v>
      </c>
      <c r="DR27" s="229">
        <f t="shared" si="125"/>
        <v>3.8417031059394309</v>
      </c>
      <c r="DS27" s="229">
        <f t="shared" si="126"/>
        <v>3.0088155093272513</v>
      </c>
      <c r="DT27" s="229">
        <f t="shared" si="127"/>
        <v>2.5893120715445521</v>
      </c>
      <c r="DU27" s="229">
        <f t="shared" si="128"/>
        <v>3.8417031059394309</v>
      </c>
      <c r="DV27" s="229">
        <f t="shared" si="129"/>
        <v>1.97</v>
      </c>
      <c r="DW27" s="229">
        <f t="shared" si="130"/>
        <v>0.88090000000000002</v>
      </c>
      <c r="DX27" s="229">
        <f t="shared" si="131"/>
        <v>3.4899500585422771</v>
      </c>
      <c r="DY27" s="229">
        <f t="shared" si="21"/>
        <v>2.8890479814116174</v>
      </c>
      <c r="DZ27" s="229">
        <f t="shared" si="22"/>
        <v>1.0363964762107754</v>
      </c>
      <c r="EA27" s="229">
        <f t="shared" si="23"/>
        <v>35.873287078616869</v>
      </c>
      <c r="EC27" s="235">
        <f t="shared" si="132"/>
        <v>0.20735897607517673</v>
      </c>
      <c r="ED27" s="235">
        <f t="shared" si="133"/>
        <v>0.15</v>
      </c>
      <c r="EE27" s="235">
        <f t="shared" si="134"/>
        <v>0.16953958089503343</v>
      </c>
      <c r="EF27" s="235">
        <f t="shared" si="135"/>
        <v>0.14869771529436968</v>
      </c>
      <c r="EG27" s="235">
        <f t="shared" si="136"/>
        <v>0.16889906806614496</v>
      </c>
      <c r="EH27" s="235">
        <f t="shared" si="137"/>
        <v>2.7354732730831326E-2</v>
      </c>
      <c r="EI27" s="235">
        <f t="shared" si="24"/>
        <v>16.195905071612682</v>
      </c>
      <c r="EK27" s="236">
        <f t="shared" si="138"/>
        <v>20.705381659388649</v>
      </c>
      <c r="EL27" s="236">
        <f t="shared" si="139"/>
        <v>26.659524612156147</v>
      </c>
      <c r="EM27" s="236">
        <f t="shared" si="140"/>
        <v>26.659524612156147</v>
      </c>
      <c r="EN27" s="236">
        <f t="shared" si="141"/>
        <v>14.4</v>
      </c>
      <c r="EO27" s="236">
        <f t="shared" si="142"/>
        <v>26.581142338415042</v>
      </c>
      <c r="EP27" s="236">
        <f t="shared" si="143"/>
        <v>26.659524612156147</v>
      </c>
      <c r="EQ27" s="236">
        <f t="shared" si="144"/>
        <v>30.645535901575013</v>
      </c>
      <c r="ER27" s="236">
        <f t="shared" si="145"/>
        <v>24.61580481940674</v>
      </c>
      <c r="ES27" s="236">
        <f t="shared" si="146"/>
        <v>5.3604206560575962</v>
      </c>
      <c r="ET27" s="236">
        <f t="shared" si="25"/>
        <v>21.776337175989951</v>
      </c>
      <c r="EV27" s="238">
        <f t="shared" si="147"/>
        <v>1.5412689172275765E-2</v>
      </c>
      <c r="EW27" s="238">
        <f t="shared" si="148"/>
        <v>1.5412689172275765E-2</v>
      </c>
      <c r="EX27" s="238" t="e">
        <f t="shared" si="149"/>
        <v>#DIV/0!</v>
      </c>
      <c r="EY27" s="238" t="e">
        <f t="shared" si="26"/>
        <v>#DIV/0!</v>
      </c>
      <c r="FA27" s="240">
        <f t="shared" si="150"/>
        <v>0.4777933643405487</v>
      </c>
      <c r="FB27" s="240">
        <f t="shared" si="151"/>
        <v>0.64193839185670842</v>
      </c>
      <c r="FC27" s="240">
        <f t="shared" si="152"/>
        <v>0.55986587809862853</v>
      </c>
      <c r="FD27" s="240">
        <f t="shared" si="153"/>
        <v>0.11606806205472947</v>
      </c>
      <c r="FE27" s="240">
        <f t="shared" si="27"/>
        <v>20.731404894491963</v>
      </c>
      <c r="FG27" s="236">
        <f t="shared" si="154"/>
        <v>1.2</v>
      </c>
      <c r="FH27" s="236">
        <f t="shared" si="155"/>
        <v>1.398489403913165</v>
      </c>
      <c r="FI27" s="236">
        <f t="shared" si="156"/>
        <v>1.2715468567127506</v>
      </c>
      <c r="FJ27" s="236">
        <f t="shared" si="157"/>
        <v>0.92</v>
      </c>
      <c r="FK27" s="236">
        <f t="shared" si="158"/>
        <v>1.2330151337820612</v>
      </c>
      <c r="FL27" s="236">
        <f t="shared" si="159"/>
        <v>0.9</v>
      </c>
      <c r="FM27" s="236">
        <f t="shared" si="160"/>
        <v>1.1538418990679962</v>
      </c>
      <c r="FN27" s="236">
        <f t="shared" si="161"/>
        <v>0.20061085391375616</v>
      </c>
      <c r="FO27" s="236">
        <f t="shared" si="28"/>
        <v>17.386338117535644</v>
      </c>
      <c r="FQ27" s="227">
        <f t="shared" si="162"/>
        <v>0.32</v>
      </c>
      <c r="FR27" s="227">
        <f t="shared" si="163"/>
        <v>0.35333570938000469</v>
      </c>
      <c r="FS27" s="227">
        <f t="shared" si="164"/>
        <v>0.35333570938000469</v>
      </c>
      <c r="FT27" s="227">
        <f t="shared" si="165"/>
        <v>0.24</v>
      </c>
      <c r="FU27" s="227">
        <f t="shared" si="166"/>
        <v>0.32112337890436554</v>
      </c>
      <c r="FV27" s="227">
        <f t="shared" si="29"/>
        <v>0.317558959532875</v>
      </c>
      <c r="FW27" s="227">
        <f t="shared" si="30"/>
        <v>4.6351935307730907E-2</v>
      </c>
      <c r="FX27" s="227">
        <f t="shared" si="31"/>
        <v>14.596324215167472</v>
      </c>
      <c r="FZ27" s="230">
        <f t="shared" si="167"/>
        <v>1.6183323630889555</v>
      </c>
      <c r="GA27" s="230">
        <f t="shared" si="168"/>
        <v>2.4700000000000002</v>
      </c>
      <c r="GB27" s="230">
        <f t="shared" si="169"/>
        <v>3.3625304490664201</v>
      </c>
      <c r="GC27" s="230">
        <f t="shared" si="170"/>
        <v>2.4836209373851252</v>
      </c>
      <c r="GD27" s="230">
        <f t="shared" si="171"/>
        <v>0.87217881666164099</v>
      </c>
      <c r="GE27" s="230">
        <f t="shared" si="32"/>
        <v>35.117227574184994</v>
      </c>
      <c r="GG27" s="231">
        <f t="shared" si="172"/>
        <v>0.10788882420593035</v>
      </c>
      <c r="GH27" s="231">
        <f t="shared" si="173"/>
        <v>0.05</v>
      </c>
      <c r="GI27" s="231">
        <f t="shared" si="174"/>
        <v>0.05</v>
      </c>
      <c r="GJ27" s="231">
        <f t="shared" si="175"/>
        <v>0.11960246797685993</v>
      </c>
      <c r="GK27" s="245">
        <f t="shared" si="186"/>
        <v>7.3200822658953321E-2</v>
      </c>
      <c r="GL27" s="231">
        <f t="shared" si="187"/>
        <v>4.0185003622702394E-2</v>
      </c>
      <c r="GM27" s="231">
        <f t="shared" si="33"/>
        <v>54.896928972952317</v>
      </c>
      <c r="GO27" s="246">
        <f t="shared" si="176"/>
        <v>0.18</v>
      </c>
      <c r="GP27" s="246">
        <f t="shared" si="177"/>
        <v>0.1772459254811713</v>
      </c>
      <c r="GQ27" s="247">
        <f t="shared" si="188"/>
        <v>0.17862296274058564</v>
      </c>
      <c r="GR27" s="246">
        <f t="shared" si="189"/>
        <v>1.9474247681568499E-3</v>
      </c>
      <c r="GS27" s="246">
        <f t="shared" si="34"/>
        <v>1.0902432354036684</v>
      </c>
      <c r="GU27" s="249">
        <f t="shared" si="178"/>
        <v>2.183207421252862E-2</v>
      </c>
      <c r="GV27" s="249">
        <f t="shared" si="179"/>
        <v>2.183207421252862E-2</v>
      </c>
      <c r="GW27" s="249" t="e">
        <f t="shared" si="180"/>
        <v>#DIV/0!</v>
      </c>
      <c r="GX27" s="249" t="e">
        <f t="shared" si="35"/>
        <v>#DIV/0!</v>
      </c>
      <c r="GZ27" s="240">
        <f t="shared" si="181"/>
        <v>2.3119033758413648E-2</v>
      </c>
      <c r="HA27" s="240">
        <f t="shared" si="182"/>
        <v>2.3119033758413648E-2</v>
      </c>
      <c r="HB27" s="240" t="e">
        <f t="shared" si="183"/>
        <v>#DIV/0!</v>
      </c>
      <c r="HC27" s="240" t="e">
        <f t="shared" si="36"/>
        <v>#DIV/0!</v>
      </c>
      <c r="HE27" s="234">
        <f t="shared" si="184"/>
        <v>9.1275300575040783E-2</v>
      </c>
      <c r="HF27" s="234">
        <f t="shared" si="185"/>
        <v>9.1275300575040783E-2</v>
      </c>
      <c r="HG27" s="251">
        <f t="shared" si="190"/>
        <v>9.1275300575040783E-2</v>
      </c>
      <c r="HH27" s="234">
        <f t="shared" si="191"/>
        <v>0</v>
      </c>
      <c r="HI27" s="234">
        <f t="shared" si="37"/>
        <v>0</v>
      </c>
    </row>
    <row r="28" spans="2:217" ht="15.6" x14ac:dyDescent="0.25">
      <c r="B28">
        <v>24</v>
      </c>
      <c r="C28" s="124">
        <f t="shared" si="38"/>
        <v>77.597310596423071</v>
      </c>
      <c r="D28" s="124">
        <f t="shared" si="39"/>
        <v>181.49999933161752</v>
      </c>
      <c r="E28" s="29">
        <f t="shared" si="40"/>
        <v>2.1864882131737544</v>
      </c>
      <c r="F28" s="29">
        <f t="shared" si="41"/>
        <v>1.9841972071345875</v>
      </c>
      <c r="G28" s="29">
        <f t="shared" si="42"/>
        <v>1.9826073567103994</v>
      </c>
      <c r="H28" s="29">
        <f t="shared" si="43"/>
        <v>1.983352867897509</v>
      </c>
      <c r="I28" s="29">
        <f t="shared" si="44"/>
        <v>2.0083719385912362</v>
      </c>
      <c r="J28" s="29">
        <f t="shared" si="45"/>
        <v>1.983352867897509</v>
      </c>
      <c r="K28" s="29">
        <f t="shared" si="46"/>
        <v>1.977927634713365</v>
      </c>
      <c r="L28" s="125">
        <f t="shared" si="0"/>
        <v>2.0151854408740513</v>
      </c>
      <c r="M28" s="126">
        <f t="shared" si="1"/>
        <v>7.6187745442326593E-2</v>
      </c>
      <c r="N28" s="126">
        <f t="shared" si="47"/>
        <v>3.7806816135631416</v>
      </c>
      <c r="P28" s="138">
        <f t="shared" si="48"/>
        <v>423.18894258355078</v>
      </c>
      <c r="Q28" s="138">
        <f t="shared" si="49"/>
        <v>325.79239999999999</v>
      </c>
      <c r="R28" s="138">
        <f t="shared" si="50"/>
        <v>423.18894258355078</v>
      </c>
      <c r="S28" s="138">
        <f t="shared" si="51"/>
        <v>434.65170282393842</v>
      </c>
      <c r="T28" s="138">
        <f t="shared" si="52"/>
        <v>451.22583241013052</v>
      </c>
      <c r="U28" s="138">
        <f t="shared" si="53"/>
        <v>423.18894258355078</v>
      </c>
      <c r="V28" s="138">
        <f t="shared" si="54"/>
        <v>345.93887999999998</v>
      </c>
      <c r="W28" s="138">
        <f t="shared" si="55"/>
        <v>403.88223471210307</v>
      </c>
      <c r="X28" s="138">
        <f t="shared" si="56"/>
        <v>47.892027795229019</v>
      </c>
      <c r="Y28" s="138">
        <f t="shared" si="57"/>
        <v>11.85791888800645</v>
      </c>
      <c r="AA28" s="227">
        <f t="shared" si="58"/>
        <v>0.43934139360000002</v>
      </c>
      <c r="AB28" s="227">
        <f t="shared" si="59"/>
        <v>0.39967391304347821</v>
      </c>
      <c r="AC28" s="227">
        <f t="shared" si="60"/>
        <v>0.47</v>
      </c>
      <c r="AD28" s="227">
        <f t="shared" si="61"/>
        <v>0.43934139360000002</v>
      </c>
      <c r="AE28" s="227">
        <f t="shared" si="62"/>
        <v>0.43708917506086953</v>
      </c>
      <c r="AF28" s="227">
        <f t="shared" si="63"/>
        <v>2.8828048880099058E-2</v>
      </c>
      <c r="AG28" s="227">
        <f t="shared" si="64"/>
        <v>6.5954616414566738</v>
      </c>
      <c r="AI28" s="228">
        <f t="shared" si="65"/>
        <v>4.5141231546565992</v>
      </c>
      <c r="AJ28" s="228">
        <f t="shared" si="66"/>
        <v>4.5141231546565992</v>
      </c>
      <c r="AK28" s="228">
        <f t="shared" si="67"/>
        <v>4.5141231546565992</v>
      </c>
      <c r="AL28" s="228">
        <f t="shared" si="68"/>
        <v>6.9583715961599761</v>
      </c>
      <c r="AM28" s="228">
        <f t="shared" si="69"/>
        <v>4.28</v>
      </c>
      <c r="AN28" s="228">
        <f t="shared" si="70"/>
        <v>5.0438251887674994</v>
      </c>
      <c r="AO28" s="228">
        <f t="shared" si="71"/>
        <v>4.6230125214386577</v>
      </c>
      <c r="AP28" s="228">
        <f t="shared" si="72"/>
        <v>4.9210826814765625</v>
      </c>
      <c r="AQ28" s="228">
        <f t="shared" si="73"/>
        <v>0.92756786267373381</v>
      </c>
      <c r="AR28" s="228">
        <f t="shared" si="74"/>
        <v>18.848857511888394</v>
      </c>
      <c r="AT28" s="229">
        <f t="shared" si="75"/>
        <v>1.3887936943111723</v>
      </c>
      <c r="AU28" s="229">
        <f t="shared" si="76"/>
        <v>1.47</v>
      </c>
      <c r="AV28" s="229">
        <f t="shared" si="77"/>
        <v>1.3908822320754592</v>
      </c>
      <c r="AW28" s="229">
        <f t="shared" si="78"/>
        <v>1.3887936943111723</v>
      </c>
      <c r="AX28" s="229">
        <f t="shared" si="79"/>
        <v>0.45884668231058606</v>
      </c>
      <c r="AY28" s="229">
        <f t="shared" si="80"/>
        <v>1.3</v>
      </c>
      <c r="AZ28" s="229">
        <f t="shared" si="81"/>
        <v>1.2999989845110886</v>
      </c>
      <c r="BA28" s="229">
        <f t="shared" si="82"/>
        <v>1.2827693400366205</v>
      </c>
      <c r="BB28" s="229">
        <f t="shared" si="83"/>
        <v>1.2475105784445124</v>
      </c>
      <c r="BC28" s="229">
        <f t="shared" si="84"/>
        <v>0.32485665078346315</v>
      </c>
      <c r="BD28" s="229">
        <f t="shared" si="85"/>
        <v>26.040392474147851</v>
      </c>
      <c r="BF28" s="230">
        <f t="shared" si="86"/>
        <v>11.73</v>
      </c>
      <c r="BG28" s="230">
        <f t="shared" si="87"/>
        <v>6.27</v>
      </c>
      <c r="BH28" s="230">
        <f t="shared" si="88"/>
        <v>6.6146221393054567</v>
      </c>
      <c r="BI28" s="230">
        <f t="shared" si="2"/>
        <v>8.2048740464351528</v>
      </c>
      <c r="BJ28" s="230">
        <f t="shared" si="3"/>
        <v>3.0577076129180867</v>
      </c>
      <c r="BK28" s="230">
        <f t="shared" si="89"/>
        <v>37.266965898722077</v>
      </c>
      <c r="BM28" s="227">
        <f t="shared" si="90"/>
        <v>31.73</v>
      </c>
      <c r="BN28" s="227">
        <f t="shared" si="91"/>
        <v>24.774625220749776</v>
      </c>
      <c r="BO28" s="227">
        <f t="shared" si="92"/>
        <v>22.613421830668511</v>
      </c>
      <c r="BP28" s="227">
        <f t="shared" si="93"/>
        <v>24.774625220749776</v>
      </c>
      <c r="BQ28" s="227">
        <f t="shared" si="94"/>
        <v>15.17</v>
      </c>
      <c r="BR28" s="227">
        <f t="shared" si="95"/>
        <v>22.633211035276204</v>
      </c>
      <c r="BS28" s="227">
        <f t="shared" si="96"/>
        <v>19.95</v>
      </c>
      <c r="BT28" s="227">
        <f t="shared" si="4"/>
        <v>23.092269043920606</v>
      </c>
      <c r="BU28" s="227">
        <f t="shared" si="5"/>
        <v>5.0554800487297609</v>
      </c>
      <c r="BV28" s="227">
        <f t="shared" si="97"/>
        <v>21.892521861383273</v>
      </c>
      <c r="BX28" s="231">
        <f t="shared" si="98"/>
        <v>0.34263398326911715</v>
      </c>
      <c r="BY28" s="231">
        <f t="shared" si="99"/>
        <v>0.30885375615933958</v>
      </c>
      <c r="BZ28" s="231">
        <f t="shared" si="100"/>
        <v>0.316119571821526</v>
      </c>
      <c r="CA28" s="231">
        <f t="shared" si="101"/>
        <v>0.24</v>
      </c>
      <c r="CB28" s="231">
        <f t="shared" si="102"/>
        <v>0.35790824091399687</v>
      </c>
      <c r="CC28" s="231">
        <f t="shared" si="103"/>
        <v>0.32510926184703565</v>
      </c>
      <c r="CD28" s="231">
        <f t="shared" si="104"/>
        <v>0.48</v>
      </c>
      <c r="CE28" s="231">
        <f t="shared" si="105"/>
        <v>0.48198630459789121</v>
      </c>
      <c r="CF28" s="231">
        <f t="shared" si="106"/>
        <v>0.35657638982611334</v>
      </c>
      <c r="CG28" s="231">
        <f t="shared" si="107"/>
        <v>8.4220490800408512E-2</v>
      </c>
      <c r="CH28" s="231">
        <f t="shared" si="6"/>
        <v>23.619200037747635</v>
      </c>
      <c r="CJ28" s="232">
        <f t="shared" si="108"/>
        <v>1.514717264692272</v>
      </c>
      <c r="CK28" s="232">
        <f t="shared" si="109"/>
        <v>1.514717264692272</v>
      </c>
      <c r="CL28" s="232">
        <f t="shared" si="110"/>
        <v>2.1</v>
      </c>
      <c r="CM28" s="232">
        <f t="shared" si="111"/>
        <v>1.869048235054575</v>
      </c>
      <c r="CN28" s="232">
        <f t="shared" si="112"/>
        <v>1.8962431357216409</v>
      </c>
      <c r="CO28" s="232">
        <f t="shared" si="113"/>
        <v>1.4931088325629971</v>
      </c>
      <c r="CP28" s="232">
        <f t="shared" si="114"/>
        <v>1.5156713710885665</v>
      </c>
      <c r="CQ28" s="232">
        <f t="shared" si="115"/>
        <v>1.8228166854244825</v>
      </c>
      <c r="CR28" s="232">
        <f t="shared" si="116"/>
        <v>3.887625260880796</v>
      </c>
      <c r="CS28" s="232">
        <f t="shared" si="117"/>
        <v>1.41</v>
      </c>
      <c r="CT28" s="232">
        <f t="shared" si="118"/>
        <v>1.4417495374950922</v>
      </c>
      <c r="CU28" s="232">
        <f t="shared" si="119"/>
        <v>1.860517962510245</v>
      </c>
      <c r="CV28" s="232">
        <f t="shared" si="120"/>
        <v>0.7099777742417398</v>
      </c>
      <c r="CW28" s="232">
        <f t="shared" si="7"/>
        <v>38.160221430156192</v>
      </c>
      <c r="CY28" s="229">
        <f t="shared" si="8"/>
        <v>1.19</v>
      </c>
      <c r="CZ28" s="229">
        <f t="shared" si="9"/>
        <v>0.69286780385672508</v>
      </c>
      <c r="DA28" s="229">
        <f t="shared" si="10"/>
        <v>0.54974407715612328</v>
      </c>
      <c r="DB28" s="229">
        <f t="shared" si="11"/>
        <v>1.1693388882566715</v>
      </c>
      <c r="DC28" s="229">
        <f t="shared" si="12"/>
        <v>0.57999999999999996</v>
      </c>
      <c r="DD28" s="229">
        <f t="shared" si="13"/>
        <v>0.54318117417496148</v>
      </c>
      <c r="DE28" s="229">
        <f t="shared" si="14"/>
        <v>0.8</v>
      </c>
      <c r="DF28" s="229">
        <f t="shared" si="15"/>
        <v>0.78930456334921151</v>
      </c>
      <c r="DG28" s="229">
        <f t="shared" si="16"/>
        <v>0.28171253418147435</v>
      </c>
      <c r="DH28" s="229">
        <f t="shared" si="17"/>
        <v>35.691233430362985</v>
      </c>
      <c r="DJ28" s="234">
        <f t="shared" si="121"/>
        <v>0.11484401968270615</v>
      </c>
      <c r="DK28" s="234">
        <f t="shared" si="122"/>
        <v>0.15519462119284613</v>
      </c>
      <c r="DL28" s="234">
        <f t="shared" si="123"/>
        <v>0.11917383519581129</v>
      </c>
      <c r="DM28" s="234">
        <f t="shared" si="18"/>
        <v>0.12973749202378784</v>
      </c>
      <c r="DN28" s="234">
        <f t="shared" si="19"/>
        <v>2.2152559552836567E-2</v>
      </c>
      <c r="DO28" s="234">
        <f t="shared" si="20"/>
        <v>17.074909655857084</v>
      </c>
      <c r="DQ28" s="229">
        <f t="shared" si="124"/>
        <v>3.49</v>
      </c>
      <c r="DR28" s="229">
        <f t="shared" si="125"/>
        <v>3.8595679774836404</v>
      </c>
      <c r="DS28" s="229">
        <f t="shared" si="126"/>
        <v>3.0227781613110771</v>
      </c>
      <c r="DT28" s="229">
        <f t="shared" si="127"/>
        <v>2.603140075355634</v>
      </c>
      <c r="DU28" s="229">
        <f t="shared" si="128"/>
        <v>3.8595679774836404</v>
      </c>
      <c r="DV28" s="229">
        <f t="shared" si="129"/>
        <v>1.97</v>
      </c>
      <c r="DW28" s="229">
        <f t="shared" si="130"/>
        <v>0.91920000000000002</v>
      </c>
      <c r="DX28" s="229">
        <f t="shared" si="131"/>
        <v>3.5436357888347807</v>
      </c>
      <c r="DY28" s="229">
        <f t="shared" si="21"/>
        <v>2.9084862475585966</v>
      </c>
      <c r="DZ28" s="229">
        <f t="shared" si="22"/>
        <v>1.0347533340343789</v>
      </c>
      <c r="EA28" s="229">
        <f t="shared" si="23"/>
        <v>35.577040630773411</v>
      </c>
      <c r="EC28" s="235">
        <f t="shared" si="132"/>
        <v>0.20856473071312653</v>
      </c>
      <c r="ED28" s="235">
        <f t="shared" si="133"/>
        <v>0.15</v>
      </c>
      <c r="EE28" s="235">
        <f t="shared" si="134"/>
        <v>0.17071408331213075</v>
      </c>
      <c r="EF28" s="235">
        <f t="shared" si="135"/>
        <v>0.14955378222659105</v>
      </c>
      <c r="EG28" s="235">
        <f t="shared" si="136"/>
        <v>0.16970814906296211</v>
      </c>
      <c r="EH28" s="235">
        <f t="shared" si="137"/>
        <v>2.7721564910808284E-2</v>
      </c>
      <c r="EI28" s="235">
        <f t="shared" si="24"/>
        <v>16.334846065950266</v>
      </c>
      <c r="EK28" s="236">
        <f t="shared" si="138"/>
        <v>20.705381659388649</v>
      </c>
      <c r="EL28" s="236">
        <f t="shared" si="139"/>
        <v>27.099955350916751</v>
      </c>
      <c r="EM28" s="236">
        <f t="shared" si="140"/>
        <v>27.099955350916751</v>
      </c>
      <c r="EN28" s="236">
        <f t="shared" si="141"/>
        <v>14.4</v>
      </c>
      <c r="EO28" s="236">
        <f t="shared" si="142"/>
        <v>26.930973090279771</v>
      </c>
      <c r="EP28" s="236">
        <f t="shared" si="143"/>
        <v>27.099955350916751</v>
      </c>
      <c r="EQ28" s="236">
        <f t="shared" si="144"/>
        <v>31.08992515377091</v>
      </c>
      <c r="ER28" s="236">
        <f t="shared" si="145"/>
        <v>24.918020850884229</v>
      </c>
      <c r="ES28" s="236">
        <f t="shared" si="146"/>
        <v>5.5498045837478971</v>
      </c>
      <c r="ET28" s="236">
        <f t="shared" si="25"/>
        <v>22.272252748159008</v>
      </c>
      <c r="EV28" s="238">
        <f t="shared" si="147"/>
        <v>1.5519462119284615E-2</v>
      </c>
      <c r="EW28" s="238">
        <f t="shared" si="148"/>
        <v>1.5519462119284615E-2</v>
      </c>
      <c r="EX28" s="238" t="e">
        <f t="shared" si="149"/>
        <v>#DIV/0!</v>
      </c>
      <c r="EY28" s="238" t="e">
        <f t="shared" si="26"/>
        <v>#DIV/0!</v>
      </c>
      <c r="FA28" s="240">
        <f t="shared" si="150"/>
        <v>0.48110332569782305</v>
      </c>
      <c r="FB28" s="240">
        <f t="shared" si="151"/>
        <v>0.64638558070958518</v>
      </c>
      <c r="FC28" s="240">
        <f t="shared" si="152"/>
        <v>0.56374445320370414</v>
      </c>
      <c r="FD28" s="240">
        <f t="shared" si="153"/>
        <v>0.11687220332862103</v>
      </c>
      <c r="FE28" s="240">
        <f t="shared" si="27"/>
        <v>20.731415212060682</v>
      </c>
      <c r="FG28" s="236">
        <f t="shared" si="154"/>
        <v>1.2</v>
      </c>
      <c r="FH28" s="236">
        <f t="shared" si="155"/>
        <v>1.4033839467678184</v>
      </c>
      <c r="FI28" s="236">
        <f t="shared" si="156"/>
        <v>1.2803556248409806</v>
      </c>
      <c r="FJ28" s="236">
        <f t="shared" si="157"/>
        <v>0.92</v>
      </c>
      <c r="FK28" s="236">
        <f t="shared" si="158"/>
        <v>1.2415569695427691</v>
      </c>
      <c r="FL28" s="236">
        <f t="shared" si="159"/>
        <v>0.9</v>
      </c>
      <c r="FM28" s="236">
        <f t="shared" si="160"/>
        <v>1.1575494235252612</v>
      </c>
      <c r="FN28" s="236">
        <f t="shared" si="161"/>
        <v>0.20353708718844971</v>
      </c>
      <c r="FO28" s="236">
        <f t="shared" si="28"/>
        <v>17.583446810295776</v>
      </c>
      <c r="FQ28" s="227">
        <f t="shared" si="162"/>
        <v>0.32</v>
      </c>
      <c r="FR28" s="227">
        <f t="shared" si="163"/>
        <v>0.35546930373484703</v>
      </c>
      <c r="FS28" s="227">
        <f t="shared" si="164"/>
        <v>0.35546930373484703</v>
      </c>
      <c r="FT28" s="227">
        <f t="shared" si="165"/>
        <v>0.24</v>
      </c>
      <c r="FU28" s="227">
        <f t="shared" si="166"/>
        <v>0.3233479932552949</v>
      </c>
      <c r="FV28" s="227">
        <f t="shared" si="29"/>
        <v>0.31885732014499779</v>
      </c>
      <c r="FW28" s="227">
        <f t="shared" si="30"/>
        <v>4.7225055551719401E-2</v>
      </c>
      <c r="FX28" s="227">
        <f t="shared" si="31"/>
        <v>14.810717072527671</v>
      </c>
      <c r="FZ28" s="230">
        <f t="shared" si="167"/>
        <v>1.6295435225248847</v>
      </c>
      <c r="GA28" s="230">
        <f t="shared" si="168"/>
        <v>2.4700000000000002</v>
      </c>
      <c r="GB28" s="230">
        <f t="shared" si="169"/>
        <v>3.399310296038939</v>
      </c>
      <c r="GC28" s="230">
        <f t="shared" si="170"/>
        <v>2.4996179395212743</v>
      </c>
      <c r="GD28" s="230">
        <f t="shared" si="171"/>
        <v>0.88525506206669147</v>
      </c>
      <c r="GE28" s="230">
        <f t="shared" si="32"/>
        <v>35.415614845372531</v>
      </c>
      <c r="GG28" s="231">
        <f t="shared" si="172"/>
        <v>0.1086362348349923</v>
      </c>
      <c r="GH28" s="231">
        <f t="shared" si="173"/>
        <v>0.05</v>
      </c>
      <c r="GI28" s="231">
        <f t="shared" si="174"/>
        <v>0.05</v>
      </c>
      <c r="GJ28" s="231">
        <f t="shared" si="175"/>
        <v>0.12043102604564861</v>
      </c>
      <c r="GK28" s="245">
        <f t="shared" si="186"/>
        <v>7.347700868188288E-2</v>
      </c>
      <c r="GL28" s="231">
        <f t="shared" si="187"/>
        <v>4.0663371846756731E-2</v>
      </c>
      <c r="GM28" s="231">
        <f t="shared" si="33"/>
        <v>55.341626688707379</v>
      </c>
      <c r="GO28" s="246">
        <f t="shared" si="176"/>
        <v>0.18</v>
      </c>
      <c r="GP28" s="246">
        <f t="shared" si="177"/>
        <v>0.17847381437177307</v>
      </c>
      <c r="GQ28" s="247">
        <f t="shared" si="188"/>
        <v>0.17923690718588653</v>
      </c>
      <c r="GR28" s="246">
        <f t="shared" si="189"/>
        <v>1.0791762070687121E-3</v>
      </c>
      <c r="GS28" s="246">
        <f t="shared" si="34"/>
        <v>0.60209486093703835</v>
      </c>
      <c r="GU28" s="249">
        <f t="shared" si="178"/>
        <v>2.1983318091966655E-2</v>
      </c>
      <c r="GV28" s="249">
        <f t="shared" si="179"/>
        <v>2.1983318091966655E-2</v>
      </c>
      <c r="GW28" s="249" t="e">
        <f t="shared" si="180"/>
        <v>#DIV/0!</v>
      </c>
      <c r="GX28" s="249" t="e">
        <f t="shared" si="35"/>
        <v>#DIV/0!</v>
      </c>
      <c r="GZ28" s="240">
        <f t="shared" si="181"/>
        <v>2.3279193178926922E-2</v>
      </c>
      <c r="HA28" s="240">
        <f t="shared" si="182"/>
        <v>2.3279193178926922E-2</v>
      </c>
      <c r="HB28" s="240" t="e">
        <f t="shared" si="183"/>
        <v>#DIV/0!</v>
      </c>
      <c r="HC28" s="240" t="e">
        <f t="shared" si="36"/>
        <v>#DIV/0!</v>
      </c>
      <c r="HE28" s="234">
        <f t="shared" si="184"/>
        <v>9.1910599609743446E-2</v>
      </c>
      <c r="HF28" s="234">
        <f t="shared" si="185"/>
        <v>9.1910599609743446E-2</v>
      </c>
      <c r="HG28" s="251">
        <f t="shared" si="190"/>
        <v>9.1910599609743446E-2</v>
      </c>
      <c r="HH28" s="234">
        <f t="shared" si="191"/>
        <v>0</v>
      </c>
      <c r="HI28" s="234">
        <f t="shared" si="37"/>
        <v>0</v>
      </c>
    </row>
    <row r="29" spans="2:217" ht="15.6" x14ac:dyDescent="0.25">
      <c r="B29">
        <v>25</v>
      </c>
      <c r="C29" s="124">
        <f t="shared" si="38"/>
        <v>77.9357366169382</v>
      </c>
      <c r="D29" s="124">
        <f t="shared" si="39"/>
        <v>181.75401300000004</v>
      </c>
      <c r="E29" s="29">
        <f t="shared" si="40"/>
        <v>2.1920818591195887</v>
      </c>
      <c r="F29" s="29">
        <f t="shared" si="41"/>
        <v>1.98982318018911</v>
      </c>
      <c r="G29" s="29">
        <f t="shared" si="42"/>
        <v>1.9882926348947483</v>
      </c>
      <c r="H29" s="29">
        <f t="shared" si="43"/>
        <v>1.9889764469209443</v>
      </c>
      <c r="I29" s="29">
        <f t="shared" si="44"/>
        <v>2.0141046476289919</v>
      </c>
      <c r="J29" s="29">
        <f t="shared" si="45"/>
        <v>1.9889764469209446</v>
      </c>
      <c r="K29" s="29">
        <f t="shared" si="46"/>
        <v>1.9836227300236671</v>
      </c>
      <c r="L29" s="125">
        <f t="shared" si="0"/>
        <v>2.0208397065282848</v>
      </c>
      <c r="M29" s="126">
        <f t="shared" si="1"/>
        <v>7.6164526504909597E-2</v>
      </c>
      <c r="N29" s="126">
        <f t="shared" si="47"/>
        <v>3.7689543737121514</v>
      </c>
      <c r="P29" s="138">
        <f t="shared" si="48"/>
        <v>424.37633837093978</v>
      </c>
      <c r="Q29" s="138">
        <f t="shared" si="49"/>
        <v>325.79239999999999</v>
      </c>
      <c r="R29" s="138">
        <f t="shared" si="50"/>
        <v>424.37633837093978</v>
      </c>
      <c r="S29" s="138">
        <f t="shared" si="51"/>
        <v>434.0289833345052</v>
      </c>
      <c r="T29" s="138">
        <f t="shared" si="52"/>
        <v>452.76304312021045</v>
      </c>
      <c r="U29" s="138">
        <f t="shared" si="53"/>
        <v>424.37633837093978</v>
      </c>
      <c r="V29" s="138">
        <f t="shared" si="54"/>
        <v>342.63750000000005</v>
      </c>
      <c r="W29" s="138">
        <f t="shared" si="55"/>
        <v>404.05013450964788</v>
      </c>
      <c r="X29" s="138">
        <f t="shared" si="56"/>
        <v>49.001576880061222</v>
      </c>
      <c r="Y29" s="138">
        <f t="shared" si="57"/>
        <v>12.127598209942228</v>
      </c>
      <c r="AA29" s="227">
        <f t="shared" si="58"/>
        <v>0.44108009375000001</v>
      </c>
      <c r="AB29" s="227">
        <f t="shared" si="59"/>
        <v>0.40021084337349394</v>
      </c>
      <c r="AC29" s="227">
        <f t="shared" si="60"/>
        <v>0.47</v>
      </c>
      <c r="AD29" s="227">
        <f t="shared" si="61"/>
        <v>0.44108009375000001</v>
      </c>
      <c r="AE29" s="227">
        <f t="shared" si="62"/>
        <v>0.43809275771837353</v>
      </c>
      <c r="AF29" s="227">
        <f t="shared" si="63"/>
        <v>2.8699360606018805E-2</v>
      </c>
      <c r="AG29" s="227">
        <f t="shared" si="64"/>
        <v>6.550978097763509</v>
      </c>
      <c r="AI29" s="228">
        <f t="shared" si="65"/>
        <v>4.5294305100832872</v>
      </c>
      <c r="AJ29" s="228">
        <f t="shared" si="66"/>
        <v>4.5294305100832872</v>
      </c>
      <c r="AK29" s="228">
        <f t="shared" si="67"/>
        <v>4.5294305100832872</v>
      </c>
      <c r="AL29" s="228">
        <f t="shared" si="68"/>
        <v>6.9887099914651882</v>
      </c>
      <c r="AM29" s="228">
        <f t="shared" si="69"/>
        <v>4.28</v>
      </c>
      <c r="AN29" s="228">
        <f t="shared" si="70"/>
        <v>5.065822880100983</v>
      </c>
      <c r="AO29" s="228">
        <f t="shared" si="71"/>
        <v>4.6372015277030547</v>
      </c>
      <c r="AP29" s="228">
        <f t="shared" si="72"/>
        <v>4.93714656135987</v>
      </c>
      <c r="AQ29" s="228">
        <f t="shared" si="73"/>
        <v>0.93505577948398566</v>
      </c>
      <c r="AR29" s="228">
        <f t="shared" si="74"/>
        <v>18.939194286880504</v>
      </c>
      <c r="AT29" s="229">
        <f t="shared" si="75"/>
        <v>1.3909340659340659</v>
      </c>
      <c r="AU29" s="229">
        <f t="shared" si="76"/>
        <v>1.47</v>
      </c>
      <c r="AV29" s="229">
        <f t="shared" si="77"/>
        <v>1.3915052840791806</v>
      </c>
      <c r="AW29" s="229">
        <f t="shared" si="78"/>
        <v>1.3909340659340659</v>
      </c>
      <c r="AX29" s="229">
        <f t="shared" si="79"/>
        <v>0.4763810342674748</v>
      </c>
      <c r="AY29" s="229">
        <f t="shared" si="80"/>
        <v>1.3</v>
      </c>
      <c r="AZ29" s="229">
        <f t="shared" si="81"/>
        <v>1.2999994274354607</v>
      </c>
      <c r="BA29" s="229">
        <f t="shared" si="82"/>
        <v>1.2807315813880216</v>
      </c>
      <c r="BB29" s="229">
        <f t="shared" si="83"/>
        <v>1.2500606823797835</v>
      </c>
      <c r="BC29" s="229">
        <f t="shared" si="84"/>
        <v>0.3190564694363866</v>
      </c>
      <c r="BD29" s="229">
        <f t="shared" si="85"/>
        <v>25.523278504287315</v>
      </c>
      <c r="BF29" s="230">
        <f t="shared" si="86"/>
        <v>11.73</v>
      </c>
      <c r="BG29" s="230">
        <f t="shared" si="87"/>
        <v>6.27</v>
      </c>
      <c r="BH29" s="230">
        <f t="shared" si="88"/>
        <v>6.6146373193594172</v>
      </c>
      <c r="BI29" s="230">
        <f t="shared" si="2"/>
        <v>8.2048791064531397</v>
      </c>
      <c r="BJ29" s="230">
        <f t="shared" si="3"/>
        <v>3.0577036655085235</v>
      </c>
      <c r="BK29" s="230">
        <f t="shared" si="89"/>
        <v>37.266894805355982</v>
      </c>
      <c r="BM29" s="227">
        <f t="shared" si="90"/>
        <v>31.73</v>
      </c>
      <c r="BN29" s="227">
        <f t="shared" si="91"/>
        <v>24.870256663162991</v>
      </c>
      <c r="BO29" s="227">
        <f t="shared" si="92"/>
        <v>22.646983076030228</v>
      </c>
      <c r="BP29" s="227">
        <f t="shared" si="93"/>
        <v>24.870256663162991</v>
      </c>
      <c r="BQ29" s="227">
        <f t="shared" si="94"/>
        <v>15.17</v>
      </c>
      <c r="BR29" s="227">
        <f t="shared" si="95"/>
        <v>22.732477243122165</v>
      </c>
      <c r="BS29" s="227">
        <f t="shared" si="96"/>
        <v>19.95</v>
      </c>
      <c r="BT29" s="227">
        <f t="shared" si="4"/>
        <v>23.138567663639769</v>
      </c>
      <c r="BU29" s="227">
        <f t="shared" si="5"/>
        <v>5.0642834696269663</v>
      </c>
      <c r="BV29" s="227">
        <f t="shared" si="97"/>
        <v>21.886763015089493</v>
      </c>
      <c r="BX29" s="231">
        <f t="shared" si="98"/>
        <v>0.34380682055172296</v>
      </c>
      <c r="BY29" s="231">
        <f t="shared" si="99"/>
        <v>0.30964643913037848</v>
      </c>
      <c r="BZ29" s="231">
        <f t="shared" si="100"/>
        <v>0.3170998001959176</v>
      </c>
      <c r="CA29" s="231">
        <f t="shared" si="101"/>
        <v>0.24</v>
      </c>
      <c r="CB29" s="231">
        <f t="shared" si="102"/>
        <v>0.35927788605323846</v>
      </c>
      <c r="CC29" s="231">
        <f t="shared" si="103"/>
        <v>0.32622430312400863</v>
      </c>
      <c r="CD29" s="231">
        <f t="shared" si="104"/>
        <v>0.48</v>
      </c>
      <c r="CE29" s="231">
        <f t="shared" si="105"/>
        <v>0.48293546023068912</v>
      </c>
      <c r="CF29" s="231">
        <f t="shared" si="106"/>
        <v>0.3573738386607444</v>
      </c>
      <c r="CG29" s="231">
        <f t="shared" si="107"/>
        <v>8.4208414950414867E-2</v>
      </c>
      <c r="CH29" s="231">
        <f t="shared" si="6"/>
        <v>23.56311678157115</v>
      </c>
      <c r="CJ29" s="232">
        <f t="shared" si="108"/>
        <v>1.5197713798082855</v>
      </c>
      <c r="CK29" s="232">
        <f t="shared" si="109"/>
        <v>1.5197713798082855</v>
      </c>
      <c r="CL29" s="232">
        <f t="shared" si="110"/>
        <v>2.1</v>
      </c>
      <c r="CM29" s="232">
        <f t="shared" si="111"/>
        <v>1.8701596672444591</v>
      </c>
      <c r="CN29" s="232">
        <f t="shared" si="112"/>
        <v>1.9018094124246072</v>
      </c>
      <c r="CO29" s="232">
        <f t="shared" si="113"/>
        <v>1.4981856916983163</v>
      </c>
      <c r="CP29" s="232">
        <f t="shared" si="114"/>
        <v>1.5207286697449491</v>
      </c>
      <c r="CQ29" s="232">
        <f t="shared" si="115"/>
        <v>1.830446628158344</v>
      </c>
      <c r="CR29" s="232">
        <f t="shared" si="116"/>
        <v>3.9045804045086037</v>
      </c>
      <c r="CS29" s="232">
        <f t="shared" si="117"/>
        <v>1.41</v>
      </c>
      <c r="CT29" s="232">
        <f t="shared" si="118"/>
        <v>1.4454758073039033</v>
      </c>
      <c r="CU29" s="232">
        <f t="shared" si="119"/>
        <v>1.8655390036999777</v>
      </c>
      <c r="CV29" s="232">
        <f t="shared" si="120"/>
        <v>0.71359317229511376</v>
      </c>
      <c r="CW29" s="232">
        <f t="shared" si="7"/>
        <v>38.251313474541334</v>
      </c>
      <c r="CY29" s="229">
        <f t="shared" si="8"/>
        <v>1.19</v>
      </c>
      <c r="CZ29" s="229">
        <f t="shared" si="9"/>
        <v>0.69785068531253613</v>
      </c>
      <c r="DA29" s="229">
        <f t="shared" si="10"/>
        <v>0.55070950721831846</v>
      </c>
      <c r="DB29" s="229">
        <f t="shared" si="11"/>
        <v>1.1732386546629239</v>
      </c>
      <c r="DC29" s="229">
        <f t="shared" si="12"/>
        <v>0.57999999999999996</v>
      </c>
      <c r="DD29" s="229">
        <f t="shared" si="13"/>
        <v>0.5455501563185674</v>
      </c>
      <c r="DE29" s="229">
        <f t="shared" si="14"/>
        <v>0.8</v>
      </c>
      <c r="DF29" s="229">
        <f t="shared" si="15"/>
        <v>0.79104985764462088</v>
      </c>
      <c r="DG29" s="229">
        <f t="shared" si="16"/>
        <v>0.28183071551000144</v>
      </c>
      <c r="DH29" s="229">
        <f t="shared" si="17"/>
        <v>35.627427624999825</v>
      </c>
      <c r="DJ29" s="234">
        <f t="shared" si="121"/>
        <v>0.11534489019306854</v>
      </c>
      <c r="DK29" s="234">
        <f t="shared" si="122"/>
        <v>0.1558714732338764</v>
      </c>
      <c r="DL29" s="234">
        <f t="shared" si="123"/>
        <v>0.11960774125728889</v>
      </c>
      <c r="DM29" s="234">
        <f t="shared" si="18"/>
        <v>0.13027470156141127</v>
      </c>
      <c r="DN29" s="234">
        <f t="shared" si="19"/>
        <v>2.2269688251930386E-2</v>
      </c>
      <c r="DO29" s="234">
        <f t="shared" si="20"/>
        <v>17.094407421407521</v>
      </c>
      <c r="DQ29" s="229">
        <f t="shared" si="124"/>
        <v>3.49</v>
      </c>
      <c r="DR29" s="229">
        <f t="shared" si="125"/>
        <v>3.870419807007953</v>
      </c>
      <c r="DS29" s="229">
        <f t="shared" si="126"/>
        <v>3.031259559792427</v>
      </c>
      <c r="DT29" s="229">
        <f t="shared" si="127"/>
        <v>2.6119399507252798</v>
      </c>
      <c r="DU29" s="229">
        <f t="shared" si="128"/>
        <v>3.870419807007953</v>
      </c>
      <c r="DV29" s="229">
        <f t="shared" si="129"/>
        <v>1.97</v>
      </c>
      <c r="DW29" s="229">
        <f t="shared" si="130"/>
        <v>0.95750000000000002</v>
      </c>
      <c r="DX29" s="229">
        <f t="shared" si="131"/>
        <v>3.5766487360688868</v>
      </c>
      <c r="DY29" s="229">
        <f t="shared" si="21"/>
        <v>2.9222734825753123</v>
      </c>
      <c r="DZ29" s="229">
        <f t="shared" si="22"/>
        <v>1.0298285408959471</v>
      </c>
      <c r="EA29" s="229">
        <f t="shared" si="23"/>
        <v>35.240662690761923</v>
      </c>
      <c r="EC29" s="235">
        <f t="shared" si="132"/>
        <v>0.20932743498076928</v>
      </c>
      <c r="ED29" s="235">
        <f t="shared" si="133"/>
        <v>0.15</v>
      </c>
      <c r="EE29" s="235">
        <f t="shared" si="134"/>
        <v>0.17145862055726405</v>
      </c>
      <c r="EF29" s="235">
        <f t="shared" si="135"/>
        <v>0.15006220156807568</v>
      </c>
      <c r="EG29" s="235">
        <f t="shared" si="136"/>
        <v>0.17021206427652724</v>
      </c>
      <c r="EH29" s="235">
        <f t="shared" si="137"/>
        <v>2.7964922297879089E-2</v>
      </c>
      <c r="EI29" s="235">
        <f t="shared" si="24"/>
        <v>16.429459578404007</v>
      </c>
      <c r="EK29" s="236">
        <f t="shared" si="138"/>
        <v>20.705381659388649</v>
      </c>
      <c r="EL29" s="236">
        <f t="shared" si="139"/>
        <v>27.190399874229694</v>
      </c>
      <c r="EM29" s="236">
        <f t="shared" si="140"/>
        <v>27.497164962775564</v>
      </c>
      <c r="EN29" s="236">
        <f t="shared" si="141"/>
        <v>14.4</v>
      </c>
      <c r="EO29" s="236">
        <f t="shared" si="142"/>
        <v>27.18600588986229</v>
      </c>
      <c r="EP29" s="236">
        <f t="shared" si="143"/>
        <v>27.773646449672825</v>
      </c>
      <c r="EQ29" s="236">
        <f t="shared" si="144"/>
        <v>31.37263951911817</v>
      </c>
      <c r="ER29" s="236">
        <f t="shared" si="145"/>
        <v>25.160748336435312</v>
      </c>
      <c r="ES29" s="236">
        <f t="shared" si="146"/>
        <v>5.6970580386884828</v>
      </c>
      <c r="ET29" s="236">
        <f t="shared" si="25"/>
        <v>22.642641476758328</v>
      </c>
      <c r="EV29" s="238">
        <f t="shared" si="147"/>
        <v>1.558714732338764E-2</v>
      </c>
      <c r="EW29" s="238">
        <f t="shared" si="148"/>
        <v>1.558714732338764E-2</v>
      </c>
      <c r="EX29" s="238" t="e">
        <f t="shared" si="149"/>
        <v>#DIV/0!</v>
      </c>
      <c r="EY29" s="238" t="e">
        <f t="shared" si="26"/>
        <v>#DIV/0!</v>
      </c>
      <c r="FA29" s="240">
        <f t="shared" si="150"/>
        <v>0.48320156702501682</v>
      </c>
      <c r="FB29" s="240">
        <f t="shared" si="151"/>
        <v>0.64920468358089878</v>
      </c>
      <c r="FC29" s="240">
        <f t="shared" si="152"/>
        <v>0.5662031253029578</v>
      </c>
      <c r="FD29" s="240">
        <f t="shared" si="153"/>
        <v>0.11738192941476489</v>
      </c>
      <c r="FE29" s="240">
        <f t="shared" si="27"/>
        <v>20.731416724688238</v>
      </c>
      <c r="FG29" s="236">
        <f t="shared" si="154"/>
        <v>1.2</v>
      </c>
      <c r="FH29" s="236">
        <f t="shared" si="155"/>
        <v>1.4048755335268681</v>
      </c>
      <c r="FI29" s="236">
        <f t="shared" si="156"/>
        <v>1.2859396541794803</v>
      </c>
      <c r="FJ29" s="236">
        <f t="shared" si="157"/>
        <v>0.92</v>
      </c>
      <c r="FK29" s="236">
        <f t="shared" si="158"/>
        <v>1.2469717858710112</v>
      </c>
      <c r="FL29" s="236">
        <f t="shared" si="159"/>
        <v>0.9</v>
      </c>
      <c r="FM29" s="236">
        <f t="shared" si="160"/>
        <v>1.1596311622628932</v>
      </c>
      <c r="FN29" s="236">
        <f t="shared" si="161"/>
        <v>0.20503077754564117</v>
      </c>
      <c r="FO29" s="236">
        <f t="shared" si="28"/>
        <v>17.680688844679377</v>
      </c>
      <c r="FQ29" s="227">
        <f t="shared" si="162"/>
        <v>0.32</v>
      </c>
      <c r="FR29" s="227">
        <f t="shared" si="163"/>
        <v>0.35673820794675853</v>
      </c>
      <c r="FS29" s="227">
        <f t="shared" si="164"/>
        <v>0.35673820794675853</v>
      </c>
      <c r="FT29" s="227">
        <f t="shared" si="165"/>
        <v>0.24</v>
      </c>
      <c r="FU29" s="227">
        <f t="shared" si="166"/>
        <v>0.32475821448278147</v>
      </c>
      <c r="FV29" s="227">
        <f t="shared" si="29"/>
        <v>0.31964692607525969</v>
      </c>
      <c r="FW29" s="227">
        <f t="shared" si="30"/>
        <v>4.7753034315530886E-2</v>
      </c>
      <c r="FX29" s="227">
        <f t="shared" si="31"/>
        <v>14.939306597394781</v>
      </c>
      <c r="FZ29" s="230">
        <f t="shared" si="167"/>
        <v>1.6366504689557022</v>
      </c>
      <c r="GA29" s="230">
        <f t="shared" si="168"/>
        <v>2.4700000000000002</v>
      </c>
      <c r="GB29" s="230">
        <f t="shared" si="169"/>
        <v>3.4259578719787913</v>
      </c>
      <c r="GC29" s="230">
        <f t="shared" si="170"/>
        <v>2.5108694469781647</v>
      </c>
      <c r="GD29" s="230">
        <f t="shared" si="171"/>
        <v>0.89535354994579253</v>
      </c>
      <c r="GE29" s="230">
        <f t="shared" si="32"/>
        <v>35.659104101304507</v>
      </c>
      <c r="GG29" s="231">
        <f t="shared" si="172"/>
        <v>0.10911003126371348</v>
      </c>
      <c r="GH29" s="231">
        <f t="shared" si="173"/>
        <v>0.05</v>
      </c>
      <c r="GI29" s="231">
        <f t="shared" si="174"/>
        <v>0.05</v>
      </c>
      <c r="GJ29" s="231">
        <f t="shared" si="175"/>
        <v>0.12095626322948809</v>
      </c>
      <c r="GK29" s="245">
        <f t="shared" si="186"/>
        <v>7.3652087743162689E-2</v>
      </c>
      <c r="GL29" s="231">
        <f t="shared" si="187"/>
        <v>4.0966617676234919E-2</v>
      </c>
      <c r="GM29" s="231">
        <f t="shared" si="33"/>
        <v>55.621800999168492</v>
      </c>
      <c r="GO29" s="246">
        <f t="shared" si="176"/>
        <v>0.18</v>
      </c>
      <c r="GP29" s="246">
        <f t="shared" si="177"/>
        <v>0.17925219421895786</v>
      </c>
      <c r="GQ29" s="247">
        <f t="shared" si="188"/>
        <v>0.17962609710947891</v>
      </c>
      <c r="GR29" s="246">
        <f t="shared" si="189"/>
        <v>5.2877853878539828E-4</v>
      </c>
      <c r="GS29" s="246">
        <f t="shared" si="34"/>
        <v>0.29437734677445959</v>
      </c>
      <c r="GU29" s="249">
        <f t="shared" si="178"/>
        <v>2.2079194183578593E-2</v>
      </c>
      <c r="GV29" s="249">
        <f t="shared" si="179"/>
        <v>2.2079194183578593E-2</v>
      </c>
      <c r="GW29" s="249" t="e">
        <f t="shared" si="180"/>
        <v>#DIV/0!</v>
      </c>
      <c r="GX29" s="249" t="e">
        <f t="shared" si="35"/>
        <v>#DIV/0!</v>
      </c>
      <c r="GZ29" s="240">
        <f t="shared" si="181"/>
        <v>2.3380720985081462E-2</v>
      </c>
      <c r="HA29" s="240">
        <f t="shared" si="182"/>
        <v>2.3380720985081462E-2</v>
      </c>
      <c r="HB29" s="240" t="e">
        <f t="shared" si="183"/>
        <v>#DIV/0!</v>
      </c>
      <c r="HC29" s="240" t="e">
        <f t="shared" si="36"/>
        <v>#DIV/0!</v>
      </c>
      <c r="HE29" s="234">
        <f t="shared" si="184"/>
        <v>9.2313326574156446E-2</v>
      </c>
      <c r="HF29" s="234">
        <f t="shared" si="185"/>
        <v>9.2313326574156446E-2</v>
      </c>
      <c r="HG29" s="251">
        <f t="shared" si="190"/>
        <v>9.2313326574156446E-2</v>
      </c>
      <c r="HH29" s="234">
        <f t="shared" si="191"/>
        <v>0</v>
      </c>
      <c r="HI29" s="234">
        <f t="shared" si="37"/>
        <v>0</v>
      </c>
    </row>
    <row r="30" spans="2:217" ht="15.6" x14ac:dyDescent="0.25">
      <c r="B30">
        <v>26</v>
      </c>
      <c r="C30" s="124">
        <f t="shared" si="38"/>
        <v>78.1304092996469</v>
      </c>
      <c r="D30" s="124">
        <f t="shared" si="39"/>
        <v>181.81764003711831</v>
      </c>
      <c r="E30" s="29">
        <f t="shared" si="40"/>
        <v>2.1947793386447936</v>
      </c>
      <c r="F30" s="29">
        <f t="shared" si="41"/>
        <v>1.9926756432964383</v>
      </c>
      <c r="G30" s="29">
        <f t="shared" si="42"/>
        <v>1.9909070194152312</v>
      </c>
      <c r="H30" s="29">
        <f t="shared" si="43"/>
        <v>1.9918276962141845</v>
      </c>
      <c r="I30" s="29">
        <f t="shared" si="44"/>
        <v>2.0170156664742644</v>
      </c>
      <c r="J30" s="29">
        <f t="shared" si="45"/>
        <v>1.9918276962141843</v>
      </c>
      <c r="K30" s="29">
        <f t="shared" si="46"/>
        <v>1.9864462009939536</v>
      </c>
      <c r="L30" s="125">
        <f t="shared" si="0"/>
        <v>2.0236398944647211</v>
      </c>
      <c r="M30" s="126">
        <f t="shared" si="1"/>
        <v>7.6125136517898401E-2</v>
      </c>
      <c r="N30" s="126">
        <f t="shared" si="47"/>
        <v>3.7617926354448792</v>
      </c>
      <c r="P30" s="138">
        <f t="shared" si="48"/>
        <v>424.96437783759143</v>
      </c>
      <c r="Q30" s="138">
        <f t="shared" si="49"/>
        <v>325.79239999999999</v>
      </c>
      <c r="R30" s="138">
        <f t="shared" si="50"/>
        <v>424.96437783759143</v>
      </c>
      <c r="S30" s="138">
        <f t="shared" si="51"/>
        <v>432.62689847976947</v>
      </c>
      <c r="T30" s="138">
        <f t="shared" si="52"/>
        <v>453.64663132661775</v>
      </c>
      <c r="U30" s="138">
        <f t="shared" si="53"/>
        <v>424.96437783759143</v>
      </c>
      <c r="V30" s="138">
        <f t="shared" si="54"/>
        <v>339.39287999999999</v>
      </c>
      <c r="W30" s="138">
        <f t="shared" si="55"/>
        <v>403.76456333130881</v>
      </c>
      <c r="X30" s="138">
        <f t="shared" si="56"/>
        <v>49.821219328855157</v>
      </c>
      <c r="Y30" s="138">
        <f t="shared" si="57"/>
        <v>12.339175810229385</v>
      </c>
      <c r="AA30" s="227">
        <f t="shared" si="58"/>
        <v>0.4426432924</v>
      </c>
      <c r="AB30" s="227">
        <f t="shared" si="59"/>
        <v>0.4007163742690058</v>
      </c>
      <c r="AC30" s="227">
        <f t="shared" si="60"/>
        <v>0.47</v>
      </c>
      <c r="AD30" s="227">
        <f t="shared" si="61"/>
        <v>0.4426432924</v>
      </c>
      <c r="AE30" s="227">
        <f t="shared" si="62"/>
        <v>0.4390007397672514</v>
      </c>
      <c r="AF30" s="227">
        <f t="shared" si="63"/>
        <v>2.8595938848873934E-2</v>
      </c>
      <c r="AG30" s="227">
        <f t="shared" si="64"/>
        <v>6.5138703101126616</v>
      </c>
      <c r="AI30" s="228">
        <f t="shared" si="65"/>
        <v>4.5370145457094617</v>
      </c>
      <c r="AJ30" s="228">
        <f t="shared" si="66"/>
        <v>4.5370145457094617</v>
      </c>
      <c r="AK30" s="228">
        <f t="shared" si="67"/>
        <v>4.5370145457094617</v>
      </c>
      <c r="AL30" s="228">
        <f t="shared" si="68"/>
        <v>7.0061614997945441</v>
      </c>
      <c r="AM30" s="228">
        <f t="shared" si="69"/>
        <v>4.28</v>
      </c>
      <c r="AN30" s="228">
        <f t="shared" si="70"/>
        <v>5.0784766044770491</v>
      </c>
      <c r="AO30" s="228">
        <f t="shared" si="71"/>
        <v>4.6442284144114696</v>
      </c>
      <c r="AP30" s="228">
        <f t="shared" si="72"/>
        <v>4.9457014508302075</v>
      </c>
      <c r="AQ30" s="228">
        <f t="shared" si="73"/>
        <v>0.93970245533541796</v>
      </c>
      <c r="AR30" s="228">
        <f t="shared" si="74"/>
        <v>19.000387805003381</v>
      </c>
      <c r="AT30" s="229">
        <f t="shared" si="75"/>
        <v>1.3929176370950669</v>
      </c>
      <c r="AU30" s="229">
        <f t="shared" si="76"/>
        <v>1.47</v>
      </c>
      <c r="AV30" s="229">
        <f t="shared" si="77"/>
        <v>1.3911928071840607</v>
      </c>
      <c r="AW30" s="229">
        <f t="shared" si="78"/>
        <v>1.3929176370950669</v>
      </c>
      <c r="AX30" s="229">
        <f t="shared" si="79"/>
        <v>0.49450110740761272</v>
      </c>
      <c r="AY30" s="229">
        <f t="shared" si="80"/>
        <v>1.3</v>
      </c>
      <c r="AZ30" s="229">
        <f t="shared" si="81"/>
        <v>1.2999996771701314</v>
      </c>
      <c r="BA30" s="229">
        <f t="shared" si="82"/>
        <v>1.2786970598445844</v>
      </c>
      <c r="BB30" s="229">
        <f t="shared" si="83"/>
        <v>1.2525282407245655</v>
      </c>
      <c r="BC30" s="229">
        <f t="shared" si="84"/>
        <v>0.31298955720737048</v>
      </c>
      <c r="BD30" s="229">
        <f t="shared" si="85"/>
        <v>24.988622773592041</v>
      </c>
      <c r="BF30" s="230">
        <f t="shared" si="86"/>
        <v>11.73</v>
      </c>
      <c r="BG30" s="230">
        <f t="shared" si="87"/>
        <v>6.27</v>
      </c>
      <c r="BH30" s="230">
        <f t="shared" si="88"/>
        <v>6.6146429038159251</v>
      </c>
      <c r="BI30" s="230">
        <f t="shared" si="2"/>
        <v>8.2048809679386423</v>
      </c>
      <c r="BJ30" s="230">
        <f t="shared" si="3"/>
        <v>3.0577022133357854</v>
      </c>
      <c r="BK30" s="230">
        <f t="shared" si="89"/>
        <v>37.266868651526444</v>
      </c>
      <c r="BM30" s="227">
        <f t="shared" si="90"/>
        <v>31.73</v>
      </c>
      <c r="BN30" s="227">
        <f t="shared" si="91"/>
        <v>24.916926904491902</v>
      </c>
      <c r="BO30" s="227">
        <f t="shared" si="92"/>
        <v>22.666114950209305</v>
      </c>
      <c r="BP30" s="227">
        <f t="shared" si="93"/>
        <v>24.916926904491902</v>
      </c>
      <c r="BQ30" s="227">
        <f t="shared" si="94"/>
        <v>15.17</v>
      </c>
      <c r="BR30" s="227">
        <f t="shared" si="95"/>
        <v>22.788736060165348</v>
      </c>
      <c r="BS30" s="227">
        <f t="shared" si="96"/>
        <v>19.95</v>
      </c>
      <c r="BT30" s="227">
        <f t="shared" si="4"/>
        <v>23.162672117051208</v>
      </c>
      <c r="BU30" s="227">
        <f t="shared" si="5"/>
        <v>5.068602596203041</v>
      </c>
      <c r="BV30" s="227">
        <f t="shared" si="97"/>
        <v>21.882633275595985</v>
      </c>
      <c r="BX30" s="231">
        <f t="shared" si="98"/>
        <v>0.34432991365217158</v>
      </c>
      <c r="BY30" s="231">
        <f t="shared" si="99"/>
        <v>0.30993433225571004</v>
      </c>
      <c r="BZ30" s="231">
        <f t="shared" si="100"/>
        <v>0.31766478885459198</v>
      </c>
      <c r="CA30" s="231">
        <f t="shared" si="101"/>
        <v>0.24</v>
      </c>
      <c r="CB30" s="231">
        <f t="shared" si="102"/>
        <v>0.36002155770750982</v>
      </c>
      <c r="CC30" s="231">
        <f t="shared" si="103"/>
        <v>0.32672052071000968</v>
      </c>
      <c r="CD30" s="231">
        <f t="shared" si="104"/>
        <v>0.48</v>
      </c>
      <c r="CE30" s="231">
        <f t="shared" si="105"/>
        <v>0.48317289445265327</v>
      </c>
      <c r="CF30" s="231">
        <f t="shared" si="106"/>
        <v>0.35773050095408082</v>
      </c>
      <c r="CG30" s="231">
        <f t="shared" si="107"/>
        <v>8.416164202855024E-2</v>
      </c>
      <c r="CH30" s="231">
        <f t="shared" si="6"/>
        <v>23.526549121220569</v>
      </c>
      <c r="CJ30" s="232">
        <f t="shared" si="108"/>
        <v>1.5222743524386262</v>
      </c>
      <c r="CK30" s="232">
        <f t="shared" si="109"/>
        <v>1.5222743524386262</v>
      </c>
      <c r="CL30" s="232">
        <f t="shared" si="110"/>
        <v>2.1</v>
      </c>
      <c r="CM30" s="232">
        <f t="shared" si="111"/>
        <v>1.8685839963622004</v>
      </c>
      <c r="CN30" s="232">
        <f t="shared" si="112"/>
        <v>1.9037321889042005</v>
      </c>
      <c r="CO30" s="232">
        <f t="shared" si="113"/>
        <v>1.5011038536648067</v>
      </c>
      <c r="CP30" s="232">
        <f t="shared" si="114"/>
        <v>1.5232332189746012</v>
      </c>
      <c r="CQ30" s="232">
        <f t="shared" si="115"/>
        <v>1.8348312780577347</v>
      </c>
      <c r="CR30" s="232">
        <f t="shared" si="116"/>
        <v>3.9143335059123094</v>
      </c>
      <c r="CS30" s="232">
        <f t="shared" si="117"/>
        <v>1.41</v>
      </c>
      <c r="CT30" s="232">
        <f t="shared" si="118"/>
        <v>1.4470895306838032</v>
      </c>
      <c r="CU30" s="232">
        <f t="shared" si="119"/>
        <v>1.8679505706760828</v>
      </c>
      <c r="CV30" s="232">
        <f t="shared" si="120"/>
        <v>0.71576120811846988</v>
      </c>
      <c r="CW30" s="232">
        <f t="shared" si="7"/>
        <v>38.317995098735857</v>
      </c>
      <c r="CY30" s="229">
        <f t="shared" si="8"/>
        <v>1.19</v>
      </c>
      <c r="CZ30" s="229">
        <f t="shared" si="9"/>
        <v>0.70124178102822432</v>
      </c>
      <c r="DA30" s="229">
        <f t="shared" si="10"/>
        <v>0.55095094453762594</v>
      </c>
      <c r="DB30" s="229">
        <f t="shared" si="11"/>
        <v>1.1754771939649016</v>
      </c>
      <c r="DC30" s="229">
        <f t="shared" si="12"/>
        <v>0.57999999999999996</v>
      </c>
      <c r="DD30" s="229">
        <f t="shared" si="13"/>
        <v>0.54691286509752834</v>
      </c>
      <c r="DE30" s="229">
        <f t="shared" si="14"/>
        <v>0.8</v>
      </c>
      <c r="DF30" s="229">
        <f t="shared" si="15"/>
        <v>0.79208325494689724</v>
      </c>
      <c r="DG30" s="229">
        <f t="shared" si="16"/>
        <v>0.2819208266270351</v>
      </c>
      <c r="DH30" s="229">
        <f t="shared" si="17"/>
        <v>35.592322507302036</v>
      </c>
      <c r="DJ30" s="234">
        <f t="shared" si="121"/>
        <v>0.1156330057634774</v>
      </c>
      <c r="DK30" s="234">
        <f t="shared" si="122"/>
        <v>0.1562608185992938</v>
      </c>
      <c r="DL30" s="234">
        <f t="shared" si="123"/>
        <v>0.11980215081657544</v>
      </c>
      <c r="DM30" s="234">
        <f t="shared" si="18"/>
        <v>0.13056532505978222</v>
      </c>
      <c r="DN30" s="234">
        <f t="shared" si="19"/>
        <v>2.235037435475647E-2</v>
      </c>
      <c r="DO30" s="234">
        <f t="shared" si="20"/>
        <v>17.118154720269612</v>
      </c>
      <c r="DQ30" s="229">
        <f t="shared" si="124"/>
        <v>3.49</v>
      </c>
      <c r="DR30" s="229">
        <f t="shared" si="125"/>
        <v>3.8757940328344533</v>
      </c>
      <c r="DS30" s="229">
        <f t="shared" si="126"/>
        <v>3.0354598416970817</v>
      </c>
      <c r="DT30" s="229">
        <f t="shared" si="127"/>
        <v>2.6170136918563074</v>
      </c>
      <c r="DU30" s="229">
        <f t="shared" si="128"/>
        <v>3.8757940328344533</v>
      </c>
      <c r="DV30" s="229">
        <f t="shared" si="129"/>
        <v>1.97</v>
      </c>
      <c r="DW30" s="229">
        <f t="shared" si="130"/>
        <v>0.99580000000000002</v>
      </c>
      <c r="DX30" s="229">
        <f t="shared" si="131"/>
        <v>3.5931115817426558</v>
      </c>
      <c r="DY30" s="229">
        <f t="shared" si="21"/>
        <v>2.9316216476206187</v>
      </c>
      <c r="DZ30" s="229">
        <f t="shared" si="22"/>
        <v>1.0221937532511647</v>
      </c>
      <c r="EA30" s="229">
        <f t="shared" si="23"/>
        <v>34.867860730964516</v>
      </c>
      <c r="EC30" s="235">
        <f t="shared" si="132"/>
        <v>0.20976558703956832</v>
      </c>
      <c r="ED30" s="235">
        <f t="shared" si="133"/>
        <v>0.15</v>
      </c>
      <c r="EE30" s="235">
        <f t="shared" si="134"/>
        <v>0.1718869004592232</v>
      </c>
      <c r="EF30" s="235">
        <f t="shared" si="135"/>
        <v>0.15028999645016194</v>
      </c>
      <c r="EG30" s="235">
        <f t="shared" si="136"/>
        <v>0.17048562098723835</v>
      </c>
      <c r="EH30" s="235">
        <f t="shared" si="137"/>
        <v>2.812118557781762E-2</v>
      </c>
      <c r="EI30" s="235">
        <f t="shared" si="24"/>
        <v>16.494755050294021</v>
      </c>
      <c r="EK30" s="236">
        <f t="shared" si="138"/>
        <v>20.705381659388649</v>
      </c>
      <c r="EL30" s="236">
        <f t="shared" si="139"/>
        <v>27.334638808193166</v>
      </c>
      <c r="EM30" s="236">
        <f t="shared" si="140"/>
        <v>27.920979375069628</v>
      </c>
      <c r="EN30" s="236">
        <f t="shared" si="141"/>
        <v>14.4</v>
      </c>
      <c r="EO30" s="236">
        <f t="shared" si="142"/>
        <v>27.370805536370465</v>
      </c>
      <c r="EP30" s="236">
        <f t="shared" si="143"/>
        <v>27.920979375069628</v>
      </c>
      <c r="EQ30" s="236">
        <f t="shared" si="144"/>
        <v>31.53560611648189</v>
      </c>
      <c r="ER30" s="236">
        <f t="shared" si="145"/>
        <v>25.312627267224773</v>
      </c>
      <c r="ES30" s="236">
        <f t="shared" si="146"/>
        <v>5.7874755812155199</v>
      </c>
      <c r="ET30" s="236">
        <f t="shared" si="25"/>
        <v>22.863986105105901</v>
      </c>
      <c r="EV30" s="238">
        <f t="shared" si="147"/>
        <v>1.5626081859929381E-2</v>
      </c>
      <c r="EW30" s="238">
        <f t="shared" si="148"/>
        <v>1.5626081859929381E-2</v>
      </c>
      <c r="EX30" s="238" t="e">
        <f t="shared" si="149"/>
        <v>#DIV/0!</v>
      </c>
      <c r="EY30" s="238" t="e">
        <f t="shared" si="26"/>
        <v>#DIV/0!</v>
      </c>
      <c r="FA30" s="240">
        <f t="shared" si="150"/>
        <v>0.48440853765781078</v>
      </c>
      <c r="FB30" s="240">
        <f t="shared" si="151"/>
        <v>0.65082630910770933</v>
      </c>
      <c r="FC30" s="240">
        <f t="shared" si="152"/>
        <v>0.56761742338276</v>
      </c>
      <c r="FD30" s="240">
        <f t="shared" si="153"/>
        <v>0.11767513470217711</v>
      </c>
      <c r="FE30" s="240">
        <f t="shared" si="27"/>
        <v>20.731416946450135</v>
      </c>
      <c r="FG30" s="236">
        <f t="shared" si="154"/>
        <v>1.2</v>
      </c>
      <c r="FH30" s="236">
        <f t="shared" si="155"/>
        <v>1.4053475096401347</v>
      </c>
      <c r="FI30" s="236">
        <f t="shared" si="156"/>
        <v>1.2891517534441739</v>
      </c>
      <c r="FJ30" s="236">
        <f t="shared" si="157"/>
        <v>0.92</v>
      </c>
      <c r="FK30" s="236">
        <f t="shared" si="158"/>
        <v>1.2500865487943504</v>
      </c>
      <c r="FL30" s="236">
        <f t="shared" si="159"/>
        <v>0.9</v>
      </c>
      <c r="FM30" s="236">
        <f t="shared" si="160"/>
        <v>1.1607643019797766</v>
      </c>
      <c r="FN30" s="236">
        <f t="shared" si="161"/>
        <v>0.20580945422059624</v>
      </c>
      <c r="FO30" s="236">
        <f t="shared" si="28"/>
        <v>17.730512031561592</v>
      </c>
      <c r="FQ30" s="227">
        <f t="shared" si="162"/>
        <v>0.32</v>
      </c>
      <c r="FR30" s="227">
        <f t="shared" si="163"/>
        <v>0.35731035741989592</v>
      </c>
      <c r="FS30" s="227">
        <f t="shared" si="164"/>
        <v>0.35731035741989592</v>
      </c>
      <c r="FT30" s="227">
        <f t="shared" si="165"/>
        <v>0.24</v>
      </c>
      <c r="FU30" s="227">
        <f t="shared" si="166"/>
        <v>0.3255694155516286</v>
      </c>
      <c r="FV30" s="227">
        <f t="shared" si="29"/>
        <v>0.32003802607828413</v>
      </c>
      <c r="FW30" s="227">
        <f t="shared" si="30"/>
        <v>4.7997751773583529E-2</v>
      </c>
      <c r="FX30" s="227">
        <f t="shared" si="31"/>
        <v>14.997515252091592</v>
      </c>
      <c r="FZ30" s="230">
        <f t="shared" si="167"/>
        <v>1.640738595292585</v>
      </c>
      <c r="GA30" s="230">
        <f t="shared" si="168"/>
        <v>2.4700000000000002</v>
      </c>
      <c r="GB30" s="230">
        <f t="shared" si="169"/>
        <v>3.4448600710581307</v>
      </c>
      <c r="GC30" s="230">
        <f t="shared" si="170"/>
        <v>2.5185328887835721</v>
      </c>
      <c r="GD30" s="230">
        <f t="shared" si="171"/>
        <v>0.90303939880819706</v>
      </c>
      <c r="GE30" s="230">
        <f t="shared" si="32"/>
        <v>35.855771541834294</v>
      </c>
      <c r="GG30" s="231">
        <f t="shared" si="172"/>
        <v>0.10938257301950566</v>
      </c>
      <c r="GH30" s="231">
        <f t="shared" si="173"/>
        <v>0.05</v>
      </c>
      <c r="GI30" s="231">
        <f t="shared" si="174"/>
        <v>0.05</v>
      </c>
      <c r="GJ30" s="231">
        <f t="shared" si="175"/>
        <v>0.12125839523305199</v>
      </c>
      <c r="GK30" s="245">
        <f t="shared" si="186"/>
        <v>7.3752798411017326E-2</v>
      </c>
      <c r="GL30" s="231">
        <f t="shared" si="187"/>
        <v>4.1141053669823305E-2</v>
      </c>
      <c r="GM30" s="231">
        <f t="shared" si="33"/>
        <v>55.782362915300013</v>
      </c>
      <c r="GO30" s="246">
        <f t="shared" si="176"/>
        <v>0.18</v>
      </c>
      <c r="GP30" s="246">
        <f t="shared" si="177"/>
        <v>0.17969994138918788</v>
      </c>
      <c r="GQ30" s="247">
        <f t="shared" si="188"/>
        <v>0.17984997069459394</v>
      </c>
      <c r="GR30" s="246">
        <f t="shared" si="189"/>
        <v>2.1217347845866165E-4</v>
      </c>
      <c r="GS30" s="246">
        <f t="shared" si="34"/>
        <v>0.11797248430968986</v>
      </c>
      <c r="GU30" s="249">
        <f t="shared" si="178"/>
        <v>2.2134344954589966E-2</v>
      </c>
      <c r="GV30" s="249">
        <f t="shared" si="179"/>
        <v>2.2134344954589966E-2</v>
      </c>
      <c r="GW30" s="249" t="e">
        <f t="shared" si="180"/>
        <v>#DIV/0!</v>
      </c>
      <c r="GX30" s="249" t="e">
        <f t="shared" si="35"/>
        <v>#DIV/0!</v>
      </c>
      <c r="GZ30" s="240">
        <f t="shared" si="181"/>
        <v>2.3439122789894073E-2</v>
      </c>
      <c r="HA30" s="240">
        <f t="shared" si="182"/>
        <v>2.3439122789894073E-2</v>
      </c>
      <c r="HB30" s="240" t="e">
        <f t="shared" si="183"/>
        <v>#DIV/0!</v>
      </c>
      <c r="HC30" s="240" t="e">
        <f t="shared" si="36"/>
        <v>#DIV/0!</v>
      </c>
      <c r="HE30" s="234">
        <f t="shared" si="184"/>
        <v>9.2544987066579792E-2</v>
      </c>
      <c r="HF30" s="234">
        <f t="shared" si="185"/>
        <v>9.2544987066579792E-2</v>
      </c>
      <c r="HG30" s="251">
        <f t="shared" si="190"/>
        <v>9.2544987066579792E-2</v>
      </c>
      <c r="HH30" s="234">
        <f t="shared" si="191"/>
        <v>0</v>
      </c>
      <c r="HI30" s="234">
        <f t="shared" si="37"/>
        <v>0</v>
      </c>
    </row>
    <row r="31" spans="2:217" ht="15.6" x14ac:dyDescent="0.25">
      <c r="B31">
        <v>27</v>
      </c>
      <c r="C31" s="124">
        <f t="shared" si="38"/>
        <v>78.227152265977097</v>
      </c>
      <c r="D31" s="124">
        <f t="shared" si="39"/>
        <v>181.71648465239801</v>
      </c>
      <c r="E31" s="29">
        <f t="shared" si="40"/>
        <v>2.1952849570586013</v>
      </c>
      <c r="F31" s="29">
        <f t="shared" si="41"/>
        <v>1.9934777436971625</v>
      </c>
      <c r="G31" s="29">
        <f t="shared" si="42"/>
        <v>1.9911508193498793</v>
      </c>
      <c r="H31" s="29">
        <f t="shared" si="43"/>
        <v>1.992629455295589</v>
      </c>
      <c r="I31" s="29">
        <f t="shared" si="44"/>
        <v>2.0178422951538235</v>
      </c>
      <c r="J31" s="29">
        <f t="shared" si="45"/>
        <v>1.992629455295589</v>
      </c>
      <c r="K31" s="29">
        <f t="shared" si="46"/>
        <v>1.9871226486039522</v>
      </c>
      <c r="L31" s="125">
        <f t="shared" si="0"/>
        <v>2.0243053392077992</v>
      </c>
      <c r="M31" s="126">
        <f t="shared" si="1"/>
        <v>7.6064270209044965E-2</v>
      </c>
      <c r="N31" s="126">
        <f t="shared" si="47"/>
        <v>3.7575492558258183</v>
      </c>
      <c r="P31" s="138">
        <f t="shared" si="48"/>
        <v>425.10412123363784</v>
      </c>
      <c r="Q31" s="138">
        <f t="shared" si="49"/>
        <v>325.79239999999999</v>
      </c>
      <c r="R31" s="138">
        <f t="shared" si="50"/>
        <v>425.10412123363784</v>
      </c>
      <c r="S31" s="138">
        <f t="shared" si="51"/>
        <v>430.64757963164578</v>
      </c>
      <c r="T31" s="138">
        <f t="shared" si="52"/>
        <v>454.08555322478622</v>
      </c>
      <c r="U31" s="138">
        <f t="shared" si="53"/>
        <v>425.10412123363784</v>
      </c>
      <c r="V31" s="138">
        <f t="shared" si="54"/>
        <v>336.20501999999999</v>
      </c>
      <c r="W31" s="138">
        <f t="shared" si="55"/>
        <v>403.14898807962072</v>
      </c>
      <c r="X31" s="138">
        <f t="shared" si="56"/>
        <v>50.435315674519032</v>
      </c>
      <c r="Y31" s="138">
        <f t="shared" si="57"/>
        <v>12.510341626991311</v>
      </c>
      <c r="AA31" s="227">
        <f t="shared" si="58"/>
        <v>0.44403775844999999</v>
      </c>
      <c r="AB31" s="227">
        <f t="shared" si="59"/>
        <v>0.40119318181818181</v>
      </c>
      <c r="AC31" s="227">
        <f t="shared" si="60"/>
        <v>0.47</v>
      </c>
      <c r="AD31" s="227">
        <f t="shared" si="61"/>
        <v>0.44403775844999999</v>
      </c>
      <c r="AE31" s="227">
        <f t="shared" si="62"/>
        <v>0.4398171746795454</v>
      </c>
      <c r="AF31" s="227">
        <f t="shared" si="63"/>
        <v>2.8509895496164072E-2</v>
      </c>
      <c r="AG31" s="227">
        <f t="shared" si="64"/>
        <v>6.4822151424479113</v>
      </c>
      <c r="AI31" s="228">
        <f t="shared" si="65"/>
        <v>4.5388171592711579</v>
      </c>
      <c r="AJ31" s="228">
        <f t="shared" si="66"/>
        <v>4.5388171592711579</v>
      </c>
      <c r="AK31" s="228">
        <f t="shared" si="67"/>
        <v>4.5388171592711579</v>
      </c>
      <c r="AL31" s="228">
        <f t="shared" si="68"/>
        <v>7.0148340507614551</v>
      </c>
      <c r="AM31" s="228">
        <f t="shared" si="69"/>
        <v>4.28</v>
      </c>
      <c r="AN31" s="228">
        <f t="shared" si="70"/>
        <v>5.0847648972885118</v>
      </c>
      <c r="AO31" s="228">
        <f t="shared" si="71"/>
        <v>4.6458983040497603</v>
      </c>
      <c r="AP31" s="228">
        <f t="shared" si="72"/>
        <v>4.9488498185590286</v>
      </c>
      <c r="AQ31" s="228">
        <f t="shared" si="73"/>
        <v>0.94253945994434318</v>
      </c>
      <c r="AR31" s="228">
        <f t="shared" si="74"/>
        <v>19.045626650654459</v>
      </c>
      <c r="AT31" s="229">
        <f t="shared" si="75"/>
        <v>1.3947610294117649</v>
      </c>
      <c r="AU31" s="229">
        <f t="shared" si="76"/>
        <v>1.47</v>
      </c>
      <c r="AV31" s="229">
        <f t="shared" si="77"/>
        <v>1.390012436977486</v>
      </c>
      <c r="AW31" s="229">
        <f t="shared" si="78"/>
        <v>1.3947610294117649</v>
      </c>
      <c r="AX31" s="229">
        <f t="shared" si="79"/>
        <v>0.51304128520800918</v>
      </c>
      <c r="AY31" s="229">
        <f t="shared" si="80"/>
        <v>1.3</v>
      </c>
      <c r="AZ31" s="229">
        <f t="shared" si="81"/>
        <v>1.2999998179783818</v>
      </c>
      <c r="BA31" s="229">
        <f t="shared" si="82"/>
        <v>1.2766657702645257</v>
      </c>
      <c r="BB31" s="229">
        <f t="shared" si="83"/>
        <v>1.2549051711564916</v>
      </c>
      <c r="BC31" s="229">
        <f t="shared" si="84"/>
        <v>0.3067203706864004</v>
      </c>
      <c r="BD31" s="229">
        <f t="shared" si="85"/>
        <v>24.441717010675319</v>
      </c>
      <c r="BF31" s="230">
        <f t="shared" si="86"/>
        <v>11.73</v>
      </c>
      <c r="BG31" s="230">
        <f t="shared" si="87"/>
        <v>6.27</v>
      </c>
      <c r="BH31" s="230">
        <f t="shared" si="88"/>
        <v>6.6146449582262843</v>
      </c>
      <c r="BI31" s="230">
        <f t="shared" si="2"/>
        <v>8.2048816527420954</v>
      </c>
      <c r="BJ31" s="230">
        <f t="shared" si="3"/>
        <v>3.0577016791110294</v>
      </c>
      <c r="BK31" s="230">
        <f t="shared" si="89"/>
        <v>37.26685903006458</v>
      </c>
      <c r="BM31" s="227">
        <f t="shared" si="90"/>
        <v>31.73</v>
      </c>
      <c r="BN31" s="227">
        <f t="shared" si="91"/>
        <v>24.926886486566886</v>
      </c>
      <c r="BO31" s="227">
        <f t="shared" si="92"/>
        <v>22.675576268892904</v>
      </c>
      <c r="BP31" s="227">
        <f t="shared" si="93"/>
        <v>24.926886486566886</v>
      </c>
      <c r="BQ31" s="227">
        <f t="shared" si="94"/>
        <v>15.17</v>
      </c>
      <c r="BR31" s="227">
        <f t="shared" si="95"/>
        <v>22.804271497470037</v>
      </c>
      <c r="BS31" s="227">
        <f t="shared" si="96"/>
        <v>19.95</v>
      </c>
      <c r="BT31" s="227">
        <f t="shared" si="4"/>
        <v>23.16908867707096</v>
      </c>
      <c r="BU31" s="227">
        <f t="shared" si="5"/>
        <v>5.0694100018845161</v>
      </c>
      <c r="BV31" s="227">
        <f t="shared" si="97"/>
        <v>21.880057832837434</v>
      </c>
      <c r="BX31" s="231">
        <f t="shared" si="98"/>
        <v>0.34434545391536148</v>
      </c>
      <c r="BY31" s="231">
        <f t="shared" si="99"/>
        <v>0.30987834518197854</v>
      </c>
      <c r="BZ31" s="231">
        <f t="shared" si="100"/>
        <v>0.3179458745519716</v>
      </c>
      <c r="CA31" s="231">
        <f t="shared" si="101"/>
        <v>0.24</v>
      </c>
      <c r="CB31" s="231">
        <f t="shared" si="102"/>
        <v>0.3603439247237249</v>
      </c>
      <c r="CC31" s="231">
        <f t="shared" si="103"/>
        <v>0.32673286929691192</v>
      </c>
      <c r="CD31" s="231">
        <f t="shared" si="104"/>
        <v>0.48</v>
      </c>
      <c r="CE31" s="231">
        <f t="shared" si="105"/>
        <v>0.48279535789116623</v>
      </c>
      <c r="CF31" s="231">
        <f t="shared" si="106"/>
        <v>0.35775522819513939</v>
      </c>
      <c r="CG31" s="231">
        <f t="shared" si="107"/>
        <v>8.4067152365080361E-2</v>
      </c>
      <c r="CH31" s="231">
        <f t="shared" si="6"/>
        <v>23.498511199737244</v>
      </c>
      <c r="CJ31" s="232">
        <f t="shared" si="108"/>
        <v>1.5228691660785449</v>
      </c>
      <c r="CK31" s="232">
        <f t="shared" si="109"/>
        <v>1.5228691660785449</v>
      </c>
      <c r="CL31" s="232">
        <f t="shared" si="110"/>
        <v>2.1</v>
      </c>
      <c r="CM31" s="232">
        <f t="shared" si="111"/>
        <v>1.8653612908935586</v>
      </c>
      <c r="CN31" s="232">
        <f t="shared" si="112"/>
        <v>1.9031728877573224</v>
      </c>
      <c r="CO31" s="232">
        <f t="shared" si="113"/>
        <v>1.5025534447701603</v>
      </c>
      <c r="CP31" s="232">
        <f t="shared" si="114"/>
        <v>1.5238284072821306</v>
      </c>
      <c r="CQ31" s="232">
        <f t="shared" si="115"/>
        <v>1.8370090278335567</v>
      </c>
      <c r="CR31" s="232">
        <f t="shared" si="116"/>
        <v>3.9191803285254525</v>
      </c>
      <c r="CS31" s="232">
        <f t="shared" si="117"/>
        <v>1.41</v>
      </c>
      <c r="CT31" s="232">
        <f t="shared" si="118"/>
        <v>1.447038805466639</v>
      </c>
      <c r="CU31" s="232">
        <f t="shared" si="119"/>
        <v>1.8685347749714467</v>
      </c>
      <c r="CV31" s="232">
        <f t="shared" si="120"/>
        <v>0.71697798514253275</v>
      </c>
      <c r="CW31" s="232">
        <f t="shared" si="7"/>
        <v>38.371134149937831</v>
      </c>
      <c r="CY31" s="229">
        <f t="shared" si="8"/>
        <v>1.19</v>
      </c>
      <c r="CZ31" s="229">
        <f t="shared" si="9"/>
        <v>0.70355152512142849</v>
      </c>
      <c r="DA31" s="229">
        <f t="shared" si="10"/>
        <v>0.55056703001261609</v>
      </c>
      <c r="DB31" s="229">
        <f t="shared" si="11"/>
        <v>1.1765883576473557</v>
      </c>
      <c r="DC31" s="229">
        <f t="shared" si="12"/>
        <v>0.57999999999999996</v>
      </c>
      <c r="DD31" s="229">
        <f t="shared" si="13"/>
        <v>0.54759006586183967</v>
      </c>
      <c r="DE31" s="229">
        <f t="shared" si="14"/>
        <v>0.8</v>
      </c>
      <c r="DF31" s="229">
        <f t="shared" si="15"/>
        <v>0.79261385409189145</v>
      </c>
      <c r="DG31" s="229">
        <f t="shared" si="16"/>
        <v>0.28200673595107062</v>
      </c>
      <c r="DH31" s="229">
        <f t="shared" si="17"/>
        <v>35.579334690556173</v>
      </c>
      <c r="DJ31" s="234">
        <f t="shared" si="121"/>
        <v>0.1157761853536461</v>
      </c>
      <c r="DK31" s="234">
        <f t="shared" si="122"/>
        <v>0.15645430453195419</v>
      </c>
      <c r="DL31" s="234">
        <f t="shared" si="123"/>
        <v>0.11980972934302535</v>
      </c>
      <c r="DM31" s="234">
        <f t="shared" si="18"/>
        <v>0.13068007307620855</v>
      </c>
      <c r="DN31" s="234">
        <f t="shared" si="19"/>
        <v>2.2412064265241713E-2</v>
      </c>
      <c r="DO31" s="234">
        <f t="shared" si="20"/>
        <v>17.150330373760731</v>
      </c>
      <c r="DQ31" s="229">
        <f t="shared" si="124"/>
        <v>3.49</v>
      </c>
      <c r="DR31" s="229">
        <f t="shared" si="125"/>
        <v>3.8770711817516532</v>
      </c>
      <c r="DS31" s="229">
        <f t="shared" si="126"/>
        <v>3.0364580088116986</v>
      </c>
      <c r="DT31" s="229">
        <f t="shared" si="127"/>
        <v>2.6195382706601649</v>
      </c>
      <c r="DU31" s="229">
        <f t="shared" si="128"/>
        <v>3.8770711817516532</v>
      </c>
      <c r="DV31" s="229">
        <f t="shared" si="129"/>
        <v>1.97</v>
      </c>
      <c r="DW31" s="229">
        <f t="shared" si="130"/>
        <v>1.0341</v>
      </c>
      <c r="DX31" s="229">
        <f t="shared" si="131"/>
        <v>3.5970349904487668</v>
      </c>
      <c r="DY31" s="229">
        <f t="shared" si="21"/>
        <v>2.9376592041779914</v>
      </c>
      <c r="DZ31" s="229">
        <f t="shared" si="22"/>
        <v>1.0124729711276022</v>
      </c>
      <c r="EA31" s="229">
        <f t="shared" si="23"/>
        <v>34.465297053097409</v>
      </c>
      <c r="EC31" s="235">
        <f t="shared" si="132"/>
        <v>0.20998317052118945</v>
      </c>
      <c r="ED31" s="235">
        <f t="shared" si="133"/>
        <v>0.15</v>
      </c>
      <c r="EE31" s="235">
        <f t="shared" si="134"/>
        <v>0.17209973498514963</v>
      </c>
      <c r="EF31" s="235">
        <f t="shared" si="135"/>
        <v>0.15029887641236842</v>
      </c>
      <c r="EG31" s="235">
        <f t="shared" si="136"/>
        <v>0.17059544547967687</v>
      </c>
      <c r="EH31" s="235">
        <f t="shared" si="137"/>
        <v>2.8223978347452786E-2</v>
      </c>
      <c r="EI31" s="235">
        <f t="shared" si="24"/>
        <v>16.544391480143659</v>
      </c>
      <c r="EK31" s="236">
        <f t="shared" si="138"/>
        <v>20.705381659388649</v>
      </c>
      <c r="EL31" s="236">
        <f t="shared" si="139"/>
        <v>27.455447728930775</v>
      </c>
      <c r="EM31" s="236">
        <f t="shared" si="140"/>
        <v>28.044379702687209</v>
      </c>
      <c r="EN31" s="236">
        <f t="shared" si="141"/>
        <v>14.4</v>
      </c>
      <c r="EO31" s="236">
        <f t="shared" si="142"/>
        <v>27.507594355594634</v>
      </c>
      <c r="EP31" s="236">
        <f t="shared" si="143"/>
        <v>28.044379702687209</v>
      </c>
      <c r="EQ31" s="236">
        <f t="shared" si="144"/>
        <v>31.616683105683858</v>
      </c>
      <c r="ER31" s="236">
        <f t="shared" si="145"/>
        <v>25.396266607853189</v>
      </c>
      <c r="ES31" s="236">
        <f t="shared" si="146"/>
        <v>5.8357918627359666</v>
      </c>
      <c r="ET31" s="236">
        <f t="shared" si="25"/>
        <v>22.97893604933013</v>
      </c>
      <c r="EV31" s="238">
        <f t="shared" si="147"/>
        <v>1.5645430453195421E-2</v>
      </c>
      <c r="EW31" s="238">
        <f t="shared" si="148"/>
        <v>1.5645430453195421E-2</v>
      </c>
      <c r="EX31" s="238" t="e">
        <f t="shared" si="149"/>
        <v>#DIV/0!</v>
      </c>
      <c r="EY31" s="238" t="e">
        <f t="shared" si="26"/>
        <v>#DIV/0!</v>
      </c>
      <c r="FA31" s="240">
        <f t="shared" si="150"/>
        <v>0.48500834404905796</v>
      </c>
      <c r="FB31" s="240">
        <f t="shared" si="151"/>
        <v>0.6516321783229877</v>
      </c>
      <c r="FC31" s="240">
        <f t="shared" si="152"/>
        <v>0.56832026118602286</v>
      </c>
      <c r="FD31" s="240">
        <f t="shared" si="153"/>
        <v>0.11782084312239906</v>
      </c>
      <c r="FE31" s="240">
        <f t="shared" si="27"/>
        <v>20.731416978961775</v>
      </c>
      <c r="FG31" s="236">
        <f t="shared" si="154"/>
        <v>1.2</v>
      </c>
      <c r="FH31" s="236">
        <f t="shared" si="155"/>
        <v>1.405324930501255</v>
      </c>
      <c r="FI31" s="236">
        <f t="shared" si="156"/>
        <v>1.2907480123886221</v>
      </c>
      <c r="FJ31" s="236">
        <f t="shared" si="157"/>
        <v>0.92</v>
      </c>
      <c r="FK31" s="236">
        <f t="shared" si="158"/>
        <v>1.2516344362556335</v>
      </c>
      <c r="FL31" s="236">
        <f t="shared" si="159"/>
        <v>0.9</v>
      </c>
      <c r="FM31" s="236">
        <f t="shared" si="160"/>
        <v>1.1612845631909186</v>
      </c>
      <c r="FN31" s="236">
        <f t="shared" si="161"/>
        <v>0.2061389500125384</v>
      </c>
      <c r="FO31" s="236">
        <f t="shared" si="28"/>
        <v>17.750942064201759</v>
      </c>
      <c r="FQ31" s="227">
        <f t="shared" si="162"/>
        <v>0.32</v>
      </c>
      <c r="FR31" s="227">
        <f t="shared" si="163"/>
        <v>0.35734018299695447</v>
      </c>
      <c r="FS31" s="227">
        <f t="shared" si="164"/>
        <v>0.35734018299695447</v>
      </c>
      <c r="FT31" s="227">
        <f t="shared" si="165"/>
        <v>0.24</v>
      </c>
      <c r="FU31" s="227">
        <f t="shared" si="166"/>
        <v>0.32597254349232652</v>
      </c>
      <c r="FV31" s="227">
        <f t="shared" si="29"/>
        <v>0.32013058189724708</v>
      </c>
      <c r="FW31" s="227">
        <f t="shared" si="30"/>
        <v>4.8021257142281386E-2</v>
      </c>
      <c r="FX31" s="227">
        <f t="shared" si="31"/>
        <v>15.000521617673771</v>
      </c>
      <c r="FZ31" s="230">
        <f t="shared" si="167"/>
        <v>1.6427701975855191</v>
      </c>
      <c r="GA31" s="230">
        <f t="shared" si="168"/>
        <v>2.4700000000000002</v>
      </c>
      <c r="GB31" s="230">
        <f t="shared" si="169"/>
        <v>3.4581659950333163</v>
      </c>
      <c r="GC31" s="230">
        <f t="shared" si="170"/>
        <v>2.5236453975396116</v>
      </c>
      <c r="GD31" s="230">
        <f t="shared" si="171"/>
        <v>0.90888604723346234</v>
      </c>
      <c r="GE31" s="230">
        <f t="shared" si="32"/>
        <v>36.014808107334197</v>
      </c>
      <c r="GG31" s="231">
        <f t="shared" si="172"/>
        <v>0.10951801317236794</v>
      </c>
      <c r="GH31" s="231">
        <f t="shared" si="173"/>
        <v>0.05</v>
      </c>
      <c r="GI31" s="231">
        <f t="shared" si="174"/>
        <v>0.05</v>
      </c>
      <c r="GJ31" s="231">
        <f t="shared" si="175"/>
        <v>0.12140854031679646</v>
      </c>
      <c r="GK31" s="245">
        <f t="shared" si="186"/>
        <v>7.3802846772265493E-2</v>
      </c>
      <c r="GL31" s="231">
        <f t="shared" si="187"/>
        <v>4.1227739974340691E-2</v>
      </c>
      <c r="GM31" s="231">
        <f t="shared" si="33"/>
        <v>55.861991477859554</v>
      </c>
      <c r="GO31" s="246">
        <f t="shared" si="176"/>
        <v>0.18</v>
      </c>
      <c r="GP31" s="246">
        <f t="shared" si="177"/>
        <v>0.17992245021174733</v>
      </c>
      <c r="GQ31" s="247">
        <f t="shared" si="188"/>
        <v>0.17996122510587365</v>
      </c>
      <c r="GR31" s="246">
        <f t="shared" si="189"/>
        <v>5.4835981153042173E-5</v>
      </c>
      <c r="GS31" s="246">
        <f t="shared" si="34"/>
        <v>3.0470997916790921E-2</v>
      </c>
      <c r="GU31" s="249">
        <f t="shared" si="178"/>
        <v>2.2161752236951313E-2</v>
      </c>
      <c r="GV31" s="249">
        <f t="shared" si="179"/>
        <v>2.2161752236951313E-2</v>
      </c>
      <c r="GW31" s="249" t="e">
        <f t="shared" si="180"/>
        <v>#DIV/0!</v>
      </c>
      <c r="GX31" s="249" t="e">
        <f t="shared" si="35"/>
        <v>#DIV/0!</v>
      </c>
      <c r="GZ31" s="240">
        <f t="shared" si="181"/>
        <v>2.3468145679793131E-2</v>
      </c>
      <c r="HA31" s="240">
        <f t="shared" si="182"/>
        <v>2.3468145679793131E-2</v>
      </c>
      <c r="HB31" s="240" t="e">
        <f t="shared" si="183"/>
        <v>#DIV/0!</v>
      </c>
      <c r="HC31" s="240" t="e">
        <f t="shared" si="36"/>
        <v>#DIV/0!</v>
      </c>
      <c r="HE31" s="234">
        <f t="shared" si="184"/>
        <v>9.2660111196512726E-2</v>
      </c>
      <c r="HF31" s="234">
        <f t="shared" si="185"/>
        <v>9.2660111196512726E-2</v>
      </c>
      <c r="HG31" s="251">
        <f t="shared" si="190"/>
        <v>9.2660111196512726E-2</v>
      </c>
      <c r="HH31" s="234">
        <f t="shared" si="191"/>
        <v>0</v>
      </c>
      <c r="HI31" s="234">
        <f t="shared" si="37"/>
        <v>0</v>
      </c>
    </row>
    <row r="32" spans="2:217" ht="15.6" x14ac:dyDescent="0.25">
      <c r="B32">
        <v>28</v>
      </c>
      <c r="C32" s="124">
        <f t="shared" si="38"/>
        <v>78.264871870261032</v>
      </c>
      <c r="D32" s="124">
        <f t="shared" si="39"/>
        <v>181.47543842100001</v>
      </c>
      <c r="E32" s="29">
        <f t="shared" si="40"/>
        <v>2.1942144263207513</v>
      </c>
      <c r="F32" s="29">
        <f t="shared" si="41"/>
        <v>1.9928560950258656</v>
      </c>
      <c r="G32" s="29">
        <f t="shared" si="42"/>
        <v>1.9896431516733097</v>
      </c>
      <c r="H32" s="29">
        <f t="shared" si="43"/>
        <v>1.992008071155642</v>
      </c>
      <c r="I32" s="29">
        <f t="shared" si="44"/>
        <v>2.0172232659703209</v>
      </c>
      <c r="J32" s="29">
        <f t="shared" si="45"/>
        <v>1.9920080711556418</v>
      </c>
      <c r="K32" s="29">
        <f t="shared" si="46"/>
        <v>1.9862829562064896</v>
      </c>
      <c r="L32" s="125">
        <f t="shared" si="0"/>
        <v>2.0234622910725744</v>
      </c>
      <c r="M32" s="126">
        <f t="shared" si="1"/>
        <v>7.5978867011870108E-2</v>
      </c>
      <c r="N32" s="126">
        <f t="shared" si="47"/>
        <v>3.7548941409526382</v>
      </c>
      <c r="P32" s="138">
        <f t="shared" si="48"/>
        <v>424.92708112524059</v>
      </c>
      <c r="Q32" s="138">
        <f t="shared" si="49"/>
        <v>325.79239999999999</v>
      </c>
      <c r="R32" s="138">
        <f t="shared" si="50"/>
        <v>424.92708112524059</v>
      </c>
      <c r="S32" s="138">
        <f t="shared" si="51"/>
        <v>428.2676228369773</v>
      </c>
      <c r="T32" s="138">
        <f t="shared" si="52"/>
        <v>454.25665456075262</v>
      </c>
      <c r="U32" s="138">
        <f t="shared" si="53"/>
        <v>424.92708112524059</v>
      </c>
      <c r="V32" s="138">
        <f t="shared" si="54"/>
        <v>333.07392000000004</v>
      </c>
      <c r="W32" s="138">
        <f t="shared" si="55"/>
        <v>402.31026296763594</v>
      </c>
      <c r="X32" s="138">
        <f t="shared" si="56"/>
        <v>50.917299061518136</v>
      </c>
      <c r="Y32" s="138">
        <f t="shared" si="57"/>
        <v>12.65622673553675</v>
      </c>
      <c r="AA32" s="227">
        <f t="shared" si="58"/>
        <v>0.44527026079999998</v>
      </c>
      <c r="AB32" s="227">
        <f t="shared" si="59"/>
        <v>0.40164364640883976</v>
      </c>
      <c r="AC32" s="227">
        <f t="shared" si="60"/>
        <v>0.47</v>
      </c>
      <c r="AD32" s="227">
        <f t="shared" si="61"/>
        <v>0.44527026079999998</v>
      </c>
      <c r="AE32" s="227">
        <f t="shared" si="62"/>
        <v>0.44054604200220993</v>
      </c>
      <c r="AF32" s="227">
        <f t="shared" si="63"/>
        <v>2.843453599139277E-2</v>
      </c>
      <c r="AG32" s="227">
        <f t="shared" si="64"/>
        <v>6.4543846228109185</v>
      </c>
      <c r="AI32" s="228">
        <f t="shared" si="65"/>
        <v>4.5365334593327376</v>
      </c>
      <c r="AJ32" s="228">
        <f t="shared" si="66"/>
        <v>4.5365334593327376</v>
      </c>
      <c r="AK32" s="228">
        <f t="shared" si="67"/>
        <v>4.5365334593327376</v>
      </c>
      <c r="AL32" s="228">
        <f t="shared" si="68"/>
        <v>7.0182154337327924</v>
      </c>
      <c r="AM32" s="228">
        <f t="shared" si="69"/>
        <v>4.28</v>
      </c>
      <c r="AN32" s="228">
        <f t="shared" si="70"/>
        <v>5.0872166715669671</v>
      </c>
      <c r="AO32" s="228">
        <f t="shared" si="71"/>
        <v>4.6437827304274037</v>
      </c>
      <c r="AP32" s="228">
        <f t="shared" si="72"/>
        <v>4.94840217338934</v>
      </c>
      <c r="AQ32" s="228">
        <f t="shared" si="73"/>
        <v>0.94444502053461932</v>
      </c>
      <c r="AR32" s="228">
        <f t="shared" si="74"/>
        <v>19.085858170815058</v>
      </c>
      <c r="AT32" s="229">
        <f t="shared" si="75"/>
        <v>1.3964785953837051</v>
      </c>
      <c r="AU32" s="229">
        <f t="shared" si="76"/>
        <v>1.47</v>
      </c>
      <c r="AV32" s="229">
        <f t="shared" si="77"/>
        <v>1.3880423172451868</v>
      </c>
      <c r="AW32" s="229">
        <f t="shared" si="78"/>
        <v>1.3964785953837051</v>
      </c>
      <c r="AX32" s="229">
        <f t="shared" si="79"/>
        <v>0.53184975018190173</v>
      </c>
      <c r="AY32" s="229">
        <f t="shared" si="80"/>
        <v>1.3</v>
      </c>
      <c r="AZ32" s="229">
        <f t="shared" si="81"/>
        <v>1.2999998973704954</v>
      </c>
      <c r="BA32" s="229">
        <f t="shared" si="82"/>
        <v>1.2746377075138513</v>
      </c>
      <c r="BB32" s="229">
        <f t="shared" si="83"/>
        <v>1.2571858578848558</v>
      </c>
      <c r="BC32" s="229">
        <f t="shared" si="84"/>
        <v>0.30030968168962119</v>
      </c>
      <c r="BD32" s="229">
        <f t="shared" si="85"/>
        <v>23.887453060828673</v>
      </c>
      <c r="BF32" s="230">
        <f t="shared" si="86"/>
        <v>11.73</v>
      </c>
      <c r="BG32" s="230">
        <f t="shared" si="87"/>
        <v>6.27</v>
      </c>
      <c r="BH32" s="230">
        <f t="shared" si="88"/>
        <v>6.6146457140021075</v>
      </c>
      <c r="BI32" s="230">
        <f t="shared" si="2"/>
        <v>8.2048819046673689</v>
      </c>
      <c r="BJ32" s="230">
        <f t="shared" si="3"/>
        <v>3.0577014825806921</v>
      </c>
      <c r="BK32" s="230">
        <f t="shared" si="89"/>
        <v>37.266855490525835</v>
      </c>
      <c r="BM32" s="227">
        <f t="shared" si="90"/>
        <v>31.73</v>
      </c>
      <c r="BN32" s="227">
        <f t="shared" si="91"/>
        <v>24.910886943191478</v>
      </c>
      <c r="BO32" s="227">
        <f t="shared" si="92"/>
        <v>22.67925693951015</v>
      </c>
      <c r="BP32" s="227">
        <f t="shared" si="93"/>
        <v>24.910886943191478</v>
      </c>
      <c r="BQ32" s="227">
        <f t="shared" si="94"/>
        <v>15.17</v>
      </c>
      <c r="BR32" s="227">
        <f t="shared" si="95"/>
        <v>22.79672608643342</v>
      </c>
      <c r="BS32" s="227">
        <f t="shared" si="96"/>
        <v>19.95</v>
      </c>
      <c r="BT32" s="227">
        <f t="shared" si="4"/>
        <v>23.1639652731895</v>
      </c>
      <c r="BU32" s="227">
        <f t="shared" si="5"/>
        <v>5.0675977533479806</v>
      </c>
      <c r="BV32" s="227">
        <f t="shared" si="97"/>
        <v>21.877073694344265</v>
      </c>
      <c r="BX32" s="231">
        <f t="shared" si="98"/>
        <v>0.34398057576312635</v>
      </c>
      <c r="BY32" s="231">
        <f t="shared" si="99"/>
        <v>0.30961509757242162</v>
      </c>
      <c r="BZ32" s="231">
        <f t="shared" si="100"/>
        <v>0.31805552542917348</v>
      </c>
      <c r="CA32" s="231">
        <f t="shared" si="101"/>
        <v>0.24</v>
      </c>
      <c r="CB32" s="231">
        <f t="shared" si="102"/>
        <v>0.36041867961744611</v>
      </c>
      <c r="CC32" s="231">
        <f t="shared" si="103"/>
        <v>0.32638193873977317</v>
      </c>
      <c r="CD32" s="231">
        <f t="shared" si="104"/>
        <v>0.48</v>
      </c>
      <c r="CE32" s="231">
        <f t="shared" si="105"/>
        <v>0.48189442227612717</v>
      </c>
      <c r="CF32" s="231">
        <f t="shared" si="106"/>
        <v>0.35754327992475843</v>
      </c>
      <c r="CG32" s="231">
        <f t="shared" si="107"/>
        <v>8.3917404138887083E-2</v>
      </c>
      <c r="CH32" s="231">
        <f t="shared" si="6"/>
        <v>23.470558349340727</v>
      </c>
      <c r="CJ32" s="232">
        <f t="shared" si="108"/>
        <v>1.5221156000835379</v>
      </c>
      <c r="CK32" s="232">
        <f t="shared" si="109"/>
        <v>1.5221156000835379</v>
      </c>
      <c r="CL32" s="232">
        <f t="shared" si="110"/>
        <v>2.1</v>
      </c>
      <c r="CM32" s="232">
        <f t="shared" si="111"/>
        <v>1.8613578054300979</v>
      </c>
      <c r="CN32" s="232">
        <f t="shared" si="112"/>
        <v>1.9011176099877012</v>
      </c>
      <c r="CO32" s="232">
        <f t="shared" si="113"/>
        <v>1.5031185262936202</v>
      </c>
      <c r="CP32" s="232">
        <f t="shared" si="114"/>
        <v>1.5230743666228725</v>
      </c>
      <c r="CQ32" s="232">
        <f t="shared" si="115"/>
        <v>1.837857900443693</v>
      </c>
      <c r="CR32" s="232">
        <f t="shared" si="116"/>
        <v>3.9210700807000776</v>
      </c>
      <c r="CS32" s="232">
        <f t="shared" si="117"/>
        <v>1.41</v>
      </c>
      <c r="CT32" s="232">
        <f t="shared" si="118"/>
        <v>1.4457243318376185</v>
      </c>
      <c r="CU32" s="232">
        <f t="shared" si="119"/>
        <v>1.867959256498432</v>
      </c>
      <c r="CV32" s="232">
        <f t="shared" si="120"/>
        <v>0.71766532155030516</v>
      </c>
      <c r="CW32" s="232">
        <f t="shared" si="7"/>
        <v>38.419752414493182</v>
      </c>
      <c r="CY32" s="229">
        <f t="shared" si="8"/>
        <v>1.19</v>
      </c>
      <c r="CZ32" s="229">
        <f t="shared" si="9"/>
        <v>0.70521604103199054</v>
      </c>
      <c r="DA32" s="229">
        <f t="shared" si="10"/>
        <v>0.54965059631201951</v>
      </c>
      <c r="DB32" s="229">
        <f t="shared" si="11"/>
        <v>1.1770213641033442</v>
      </c>
      <c r="DC32" s="229">
        <f t="shared" si="12"/>
        <v>0.57999999999999996</v>
      </c>
      <c r="DD32" s="229">
        <f t="shared" si="13"/>
        <v>0.54785410309182725</v>
      </c>
      <c r="DE32" s="229">
        <f t="shared" si="14"/>
        <v>0.8</v>
      </c>
      <c r="DF32" s="229">
        <f t="shared" si="15"/>
        <v>0.79282030064845443</v>
      </c>
      <c r="DG32" s="229">
        <f t="shared" si="16"/>
        <v>0.2821112808045495</v>
      </c>
      <c r="DH32" s="229">
        <f t="shared" si="17"/>
        <v>35.583256454685667</v>
      </c>
      <c r="DJ32" s="234">
        <f t="shared" si="121"/>
        <v>0.11583201036798632</v>
      </c>
      <c r="DK32" s="234">
        <f t="shared" si="122"/>
        <v>0.15652974374052206</v>
      </c>
      <c r="DL32" s="234">
        <f t="shared" si="123"/>
        <v>0.11967747384232506</v>
      </c>
      <c r="DM32" s="234">
        <f t="shared" si="18"/>
        <v>0.13067974265027782</v>
      </c>
      <c r="DN32" s="234">
        <f t="shared" si="19"/>
        <v>2.2469174764715719E-2</v>
      </c>
      <c r="DO32" s="234">
        <f t="shared" si="20"/>
        <v>17.194076380183283</v>
      </c>
      <c r="DQ32" s="229">
        <f t="shared" si="124"/>
        <v>3.49</v>
      </c>
      <c r="DR32" s="229">
        <f t="shared" si="125"/>
        <v>3.8754531692548477</v>
      </c>
      <c r="DS32" s="229">
        <f t="shared" si="126"/>
        <v>3.0351934366088611</v>
      </c>
      <c r="DT32" s="229">
        <f t="shared" si="127"/>
        <v>2.6205231594984597</v>
      </c>
      <c r="DU32" s="229">
        <f t="shared" si="128"/>
        <v>3.8754531692548477</v>
      </c>
      <c r="DV32" s="229">
        <f t="shared" si="129"/>
        <v>1.97</v>
      </c>
      <c r="DW32" s="229">
        <f t="shared" si="130"/>
        <v>1.0724</v>
      </c>
      <c r="DX32" s="229">
        <f t="shared" si="131"/>
        <v>3.5920651701033255</v>
      </c>
      <c r="DY32" s="229">
        <f t="shared" si="21"/>
        <v>2.9413860130900424</v>
      </c>
      <c r="DZ32" s="229">
        <f t="shared" si="22"/>
        <v>1.0012689009117908</v>
      </c>
      <c r="EA32" s="229">
        <f t="shared" si="23"/>
        <v>34.04071741878986</v>
      </c>
      <c r="EC32" s="235">
        <f t="shared" si="132"/>
        <v>0.2100679769946176</v>
      </c>
      <c r="ED32" s="235">
        <f t="shared" si="133"/>
        <v>0.15</v>
      </c>
      <c r="EE32" s="235">
        <f t="shared" si="134"/>
        <v>0.17218271811457428</v>
      </c>
      <c r="EF32" s="235">
        <f t="shared" si="135"/>
        <v>0.15014390910367312</v>
      </c>
      <c r="EG32" s="235">
        <f t="shared" si="136"/>
        <v>0.17059865105321625</v>
      </c>
      <c r="EH32" s="235">
        <f t="shared" si="137"/>
        <v>2.8302166301999072E-2</v>
      </c>
      <c r="EI32" s="235">
        <f t="shared" si="24"/>
        <v>16.589912128420373</v>
      </c>
      <c r="EK32" s="236">
        <f t="shared" si="138"/>
        <v>20.705381659388649</v>
      </c>
      <c r="EL32" s="236">
        <f t="shared" si="139"/>
        <v>27.570630461989953</v>
      </c>
      <c r="EM32" s="236">
        <f t="shared" si="140"/>
        <v>28.162033158314557</v>
      </c>
      <c r="EN32" s="236">
        <f t="shared" si="141"/>
        <v>14.4</v>
      </c>
      <c r="EO32" s="236">
        <f t="shared" si="142"/>
        <v>27.615444375692665</v>
      </c>
      <c r="EP32" s="236">
        <f t="shared" si="143"/>
        <v>28.162033158314557</v>
      </c>
      <c r="EQ32" s="236">
        <f t="shared" si="144"/>
        <v>31.648310684257439</v>
      </c>
      <c r="ER32" s="236">
        <f t="shared" si="145"/>
        <v>25.466261928279689</v>
      </c>
      <c r="ES32" s="236">
        <f t="shared" si="146"/>
        <v>5.8726424771789665</v>
      </c>
      <c r="ET32" s="236">
        <f t="shared" si="25"/>
        <v>23.060480936377768</v>
      </c>
      <c r="EV32" s="238">
        <f t="shared" si="147"/>
        <v>1.5652974374052206E-2</v>
      </c>
      <c r="EW32" s="238">
        <f t="shared" si="148"/>
        <v>1.5652974374052206E-2</v>
      </c>
      <c r="EX32" s="238" t="e">
        <f t="shared" si="149"/>
        <v>#DIV/0!</v>
      </c>
      <c r="EY32" s="238" t="e">
        <f t="shared" si="26"/>
        <v>#DIV/0!</v>
      </c>
      <c r="FA32" s="240">
        <f t="shared" si="150"/>
        <v>0.48524220559561837</v>
      </c>
      <c r="FB32" s="240">
        <f t="shared" si="151"/>
        <v>0.65194638267155902</v>
      </c>
      <c r="FC32" s="240">
        <f t="shared" si="152"/>
        <v>0.56859429413358864</v>
      </c>
      <c r="FD32" s="240">
        <f t="shared" si="153"/>
        <v>0.11787765406252121</v>
      </c>
      <c r="FE32" s="240">
        <f t="shared" si="27"/>
        <v>20.731416983728366</v>
      </c>
      <c r="FG32" s="236">
        <f t="shared" si="154"/>
        <v>1.2</v>
      </c>
      <c r="FH32" s="236">
        <f t="shared" si="155"/>
        <v>1.4041385072234867</v>
      </c>
      <c r="FI32" s="236">
        <f t="shared" si="156"/>
        <v>1.2913703858593071</v>
      </c>
      <c r="FJ32" s="236">
        <f t="shared" si="157"/>
        <v>0.92</v>
      </c>
      <c r="FK32" s="236">
        <f t="shared" si="158"/>
        <v>1.2522379499241765</v>
      </c>
      <c r="FL32" s="236">
        <f t="shared" si="159"/>
        <v>0.9</v>
      </c>
      <c r="FM32" s="236">
        <f t="shared" si="160"/>
        <v>1.1612911405011619</v>
      </c>
      <c r="FN32" s="236">
        <f t="shared" si="161"/>
        <v>0.20599010953615585</v>
      </c>
      <c r="FO32" s="236">
        <f t="shared" si="28"/>
        <v>17.738024716804404</v>
      </c>
      <c r="FQ32" s="227">
        <f t="shared" si="162"/>
        <v>0.32</v>
      </c>
      <c r="FR32" s="227">
        <f t="shared" si="163"/>
        <v>0.35696530133641613</v>
      </c>
      <c r="FS32" s="227">
        <f t="shared" si="164"/>
        <v>0.35696530133641613</v>
      </c>
      <c r="FT32" s="227">
        <f t="shared" si="165"/>
        <v>0.24</v>
      </c>
      <c r="FU32" s="227">
        <f t="shared" si="166"/>
        <v>0.32612972108337768</v>
      </c>
      <c r="FV32" s="227">
        <f t="shared" si="29"/>
        <v>0.320012064751242</v>
      </c>
      <c r="FW32" s="227">
        <f t="shared" si="30"/>
        <v>4.7881206539082004E-2</v>
      </c>
      <c r="FX32" s="227">
        <f t="shared" si="31"/>
        <v>14.962312929139705</v>
      </c>
      <c r="FZ32" s="230">
        <f t="shared" si="167"/>
        <v>1.6435623092754819</v>
      </c>
      <c r="GA32" s="230">
        <f t="shared" si="168"/>
        <v>2.4700000000000002</v>
      </c>
      <c r="GB32" s="230">
        <f t="shared" si="169"/>
        <v>3.4677281193292497</v>
      </c>
      <c r="GC32" s="230">
        <f t="shared" si="170"/>
        <v>2.5270968095349104</v>
      </c>
      <c r="GD32" s="230">
        <f t="shared" si="171"/>
        <v>0.91342227906187001</v>
      </c>
      <c r="GE32" s="230">
        <f t="shared" si="32"/>
        <v>36.1451241446495</v>
      </c>
      <c r="GG32" s="231">
        <f t="shared" si="172"/>
        <v>0.10957082061836544</v>
      </c>
      <c r="GH32" s="231">
        <f t="shared" si="173"/>
        <v>0.05</v>
      </c>
      <c r="GI32" s="231">
        <f t="shared" si="174"/>
        <v>0.05</v>
      </c>
      <c r="GJ32" s="231">
        <f t="shared" si="175"/>
        <v>0.12146708114264512</v>
      </c>
      <c r="GK32" s="245">
        <f t="shared" si="186"/>
        <v>7.3822360380881705E-2</v>
      </c>
      <c r="GL32" s="231">
        <f t="shared" si="187"/>
        <v>4.1261538535902996E-2</v>
      </c>
      <c r="GM32" s="231">
        <f t="shared" si="33"/>
        <v>55.893009005695227</v>
      </c>
      <c r="GO32" s="246">
        <f t="shared" si="176"/>
        <v>0.18</v>
      </c>
      <c r="GP32" s="246">
        <f t="shared" si="177"/>
        <v>0.18000920530160036</v>
      </c>
      <c r="GQ32" s="247">
        <f t="shared" si="188"/>
        <v>0.18000460265080018</v>
      </c>
      <c r="GR32" s="246">
        <f t="shared" si="189"/>
        <v>6.5091311844875349E-6</v>
      </c>
      <c r="GS32" s="246">
        <f t="shared" si="34"/>
        <v>3.6160915269010763E-3</v>
      </c>
      <c r="GU32" s="249">
        <f t="shared" si="178"/>
        <v>2.2172438200844951E-2</v>
      </c>
      <c r="GV32" s="249">
        <f t="shared" si="179"/>
        <v>2.2172438200844951E-2</v>
      </c>
      <c r="GW32" s="249" t="e">
        <f t="shared" si="180"/>
        <v>#DIV/0!</v>
      </c>
      <c r="GX32" s="249" t="e">
        <f t="shared" si="35"/>
        <v>#DIV/0!</v>
      </c>
      <c r="GZ32" s="240">
        <f t="shared" si="181"/>
        <v>2.3479461561078312E-2</v>
      </c>
      <c r="HA32" s="240">
        <f t="shared" si="182"/>
        <v>2.3479461561078312E-2</v>
      </c>
      <c r="HB32" s="240" t="e">
        <f t="shared" si="183"/>
        <v>#DIV/0!</v>
      </c>
      <c r="HC32" s="240" t="e">
        <f t="shared" si="36"/>
        <v>#DIV/0!</v>
      </c>
      <c r="HE32" s="234">
        <f t="shared" si="184"/>
        <v>9.2704997525610608E-2</v>
      </c>
      <c r="HF32" s="234">
        <f t="shared" si="185"/>
        <v>9.2704997525610608E-2</v>
      </c>
      <c r="HG32" s="251">
        <f t="shared" si="190"/>
        <v>9.2704997525610608E-2</v>
      </c>
      <c r="HH32" s="234">
        <f t="shared" si="191"/>
        <v>0</v>
      </c>
      <c r="HI32" s="234">
        <f t="shared" si="37"/>
        <v>0</v>
      </c>
    </row>
    <row r="33" spans="2:217" ht="15.6" x14ac:dyDescent="0.25">
      <c r="B33">
        <v>29</v>
      </c>
      <c r="C33" s="124">
        <f t="shared" si="38"/>
        <v>78.275058568591945</v>
      </c>
      <c r="D33" s="124">
        <f t="shared" si="39"/>
        <v>181.11850030889028</v>
      </c>
      <c r="E33" s="29">
        <f t="shared" si="40"/>
        <v>2.192089008283451</v>
      </c>
      <c r="F33" s="29">
        <f t="shared" si="41"/>
        <v>1.9913345147553745</v>
      </c>
      <c r="G33" s="29">
        <f t="shared" si="42"/>
        <v>1.9869150939393929</v>
      </c>
      <c r="H33" s="29">
        <f t="shared" si="43"/>
        <v>1.9904871383661171</v>
      </c>
      <c r="I33" s="29">
        <f t="shared" si="44"/>
        <v>2.015692329620967</v>
      </c>
      <c r="J33" s="29">
        <f t="shared" si="45"/>
        <v>1.9904871383661171</v>
      </c>
      <c r="K33" s="29">
        <f t="shared" si="46"/>
        <v>1.9844577498605622</v>
      </c>
      <c r="L33" s="125">
        <f t="shared" si="0"/>
        <v>2.0216375675988543</v>
      </c>
      <c r="M33" s="126">
        <f t="shared" si="1"/>
        <v>7.5868309155355029E-2</v>
      </c>
      <c r="N33" s="126">
        <f t="shared" si="47"/>
        <v>3.7528145683138239</v>
      </c>
      <c r="P33" s="138">
        <f t="shared" si="48"/>
        <v>424.54388919575939</v>
      </c>
      <c r="Q33" s="138">
        <f t="shared" si="49"/>
        <v>325.79239999999999</v>
      </c>
      <c r="R33" s="138">
        <f t="shared" si="50"/>
        <v>424.54388919575939</v>
      </c>
      <c r="S33" s="138">
        <f t="shared" si="51"/>
        <v>425.63583435942371</v>
      </c>
      <c r="T33" s="138">
        <f t="shared" si="52"/>
        <v>454.3028597413271</v>
      </c>
      <c r="U33" s="138">
        <f t="shared" si="53"/>
        <v>424.54388919575939</v>
      </c>
      <c r="V33" s="138">
        <f t="shared" si="54"/>
        <v>329.99957999999998</v>
      </c>
      <c r="W33" s="138">
        <f t="shared" si="55"/>
        <v>401.33747738400416</v>
      </c>
      <c r="X33" s="138">
        <f t="shared" si="56"/>
        <v>51.328206747716926</v>
      </c>
      <c r="Y33" s="138">
        <f t="shared" si="57"/>
        <v>12.78928822752467</v>
      </c>
      <c r="AA33" s="227">
        <f t="shared" si="58"/>
        <v>0.44634756835</v>
      </c>
      <c r="AB33" s="227">
        <f t="shared" si="59"/>
        <v>0.40206989247311825</v>
      </c>
      <c r="AC33" s="227">
        <f t="shared" si="60"/>
        <v>0.47</v>
      </c>
      <c r="AD33" s="227">
        <f t="shared" si="61"/>
        <v>0.44634756835</v>
      </c>
      <c r="AE33" s="227">
        <f t="shared" si="62"/>
        <v>0.44119125729327957</v>
      </c>
      <c r="AF33" s="227">
        <f t="shared" si="63"/>
        <v>2.8364296390365397E-2</v>
      </c>
      <c r="AG33" s="227">
        <f t="shared" si="64"/>
        <v>6.4290250365297643</v>
      </c>
      <c r="AI33" s="228">
        <f t="shared" si="65"/>
        <v>4.5315912161377012</v>
      </c>
      <c r="AJ33" s="228">
        <f t="shared" si="66"/>
        <v>4.5315912161377012</v>
      </c>
      <c r="AK33" s="228">
        <f t="shared" si="67"/>
        <v>4.5315912161377012</v>
      </c>
      <c r="AL33" s="228">
        <f t="shared" si="68"/>
        <v>7.0191286225767477</v>
      </c>
      <c r="AM33" s="228">
        <f t="shared" si="69"/>
        <v>4.28</v>
      </c>
      <c r="AN33" s="228">
        <f t="shared" si="70"/>
        <v>5.0878788069584768</v>
      </c>
      <c r="AO33" s="228">
        <f t="shared" si="71"/>
        <v>4.6392037073707098</v>
      </c>
      <c r="AP33" s="228">
        <f t="shared" si="72"/>
        <v>4.9458549693312914</v>
      </c>
      <c r="AQ33" s="228">
        <f t="shared" si="73"/>
        <v>0.94612152319979737</v>
      </c>
      <c r="AR33" s="228">
        <f t="shared" si="74"/>
        <v>19.129584855734631</v>
      </c>
      <c r="AT33" s="229">
        <f t="shared" si="75"/>
        <v>1.3980827928271653</v>
      </c>
      <c r="AU33" s="229">
        <f t="shared" si="76"/>
        <v>1.47</v>
      </c>
      <c r="AV33" s="229">
        <f t="shared" si="77"/>
        <v>1.3853710122517162</v>
      </c>
      <c r="AW33" s="229">
        <f t="shared" si="78"/>
        <v>1.3980827928271653</v>
      </c>
      <c r="AX33" s="229">
        <f t="shared" si="79"/>
        <v>0.55079044709650482</v>
      </c>
      <c r="AY33" s="229">
        <f t="shared" si="80"/>
        <v>1.3</v>
      </c>
      <c r="AZ33" s="229">
        <f t="shared" si="81"/>
        <v>1.2999999421342623</v>
      </c>
      <c r="BA33" s="229">
        <f t="shared" si="82"/>
        <v>1.2726128664666019</v>
      </c>
      <c r="BB33" s="229">
        <f t="shared" si="83"/>
        <v>1.259367481700427</v>
      </c>
      <c r="BC33" s="229">
        <f t="shared" si="84"/>
        <v>0.2938137590691835</v>
      </c>
      <c r="BD33" s="229">
        <f t="shared" si="85"/>
        <v>23.330264068155024</v>
      </c>
      <c r="BF33" s="230">
        <f t="shared" si="86"/>
        <v>11.73</v>
      </c>
      <c r="BG33" s="230">
        <f t="shared" si="87"/>
        <v>6.27</v>
      </c>
      <c r="BH33" s="230">
        <f t="shared" si="88"/>
        <v>6.6146459920365617</v>
      </c>
      <c r="BI33" s="230">
        <f t="shared" si="2"/>
        <v>8.2048819973455203</v>
      </c>
      <c r="BJ33" s="230">
        <f t="shared" si="3"/>
        <v>3.0577014102812194</v>
      </c>
      <c r="BK33" s="230">
        <f t="shared" si="89"/>
        <v>37.266854188402228</v>
      </c>
      <c r="BM33" s="227">
        <f t="shared" si="90"/>
        <v>31.73</v>
      </c>
      <c r="BN33" s="227">
        <f t="shared" si="91"/>
        <v>24.878007317638982</v>
      </c>
      <c r="BO33" s="227">
        <f t="shared" si="92"/>
        <v>22.680250164753215</v>
      </c>
      <c r="BP33" s="227">
        <f t="shared" si="93"/>
        <v>24.878007317638982</v>
      </c>
      <c r="BQ33" s="227">
        <f t="shared" si="94"/>
        <v>15.17</v>
      </c>
      <c r="BR33" s="227">
        <f t="shared" si="95"/>
        <v>22.775319342146283</v>
      </c>
      <c r="BS33" s="227">
        <f t="shared" si="96"/>
        <v>19.95</v>
      </c>
      <c r="BT33" s="227">
        <f t="shared" si="4"/>
        <v>23.151654877453922</v>
      </c>
      <c r="BU33" s="227">
        <f t="shared" si="5"/>
        <v>5.0640867869139221</v>
      </c>
      <c r="BV33" s="227">
        <f t="shared" si="97"/>
        <v>21.873541281256522</v>
      </c>
      <c r="BX33" s="231">
        <f t="shared" si="98"/>
        <v>0.34334559034452083</v>
      </c>
      <c r="BY33" s="231">
        <f t="shared" si="99"/>
        <v>0.30925516816361059</v>
      </c>
      <c r="BZ33" s="231">
        <f t="shared" si="100"/>
        <v>0.31808514366132828</v>
      </c>
      <c r="CA33" s="231">
        <f t="shared" si="101"/>
        <v>0.24</v>
      </c>
      <c r="CB33" s="231">
        <f t="shared" si="102"/>
        <v>0.36038621352844069</v>
      </c>
      <c r="CC33" s="231">
        <f t="shared" si="103"/>
        <v>0.32577225586792741</v>
      </c>
      <c r="CD33" s="231">
        <f t="shared" si="104"/>
        <v>0.48</v>
      </c>
      <c r="CE33" s="231">
        <f t="shared" si="105"/>
        <v>0.4805569814315761</v>
      </c>
      <c r="CF33" s="231">
        <f t="shared" si="106"/>
        <v>0.35717516912467551</v>
      </c>
      <c r="CG33" s="231">
        <f t="shared" si="107"/>
        <v>8.3709615889289976E-2</v>
      </c>
      <c r="CH33" s="231">
        <f t="shared" si="6"/>
        <v>23.436572059148467</v>
      </c>
      <c r="CJ33" s="232">
        <f t="shared" si="108"/>
        <v>1.5204845549478767</v>
      </c>
      <c r="CK33" s="232">
        <f t="shared" si="109"/>
        <v>1.5204845549478767</v>
      </c>
      <c r="CL33" s="232">
        <f t="shared" si="110"/>
        <v>2.1</v>
      </c>
      <c r="CM33" s="232">
        <f t="shared" si="111"/>
        <v>1.8572596916315256</v>
      </c>
      <c r="CN33" s="232">
        <f t="shared" si="112"/>
        <v>1.8983644969502471</v>
      </c>
      <c r="CO33" s="232">
        <f t="shared" si="113"/>
        <v>1.5032711240608745</v>
      </c>
      <c r="CP33" s="232">
        <f t="shared" si="114"/>
        <v>1.521442294106965</v>
      </c>
      <c r="CQ33" s="232">
        <f t="shared" si="115"/>
        <v>1.8380871287391769</v>
      </c>
      <c r="CR33" s="232">
        <f t="shared" si="116"/>
        <v>3.9215804342864562</v>
      </c>
      <c r="CS33" s="232">
        <f t="shared" si="117"/>
        <v>1.41</v>
      </c>
      <c r="CT33" s="232">
        <f t="shared" si="118"/>
        <v>1.4434951697892331</v>
      </c>
      <c r="CU33" s="232">
        <f t="shared" si="119"/>
        <v>1.8667699499509303</v>
      </c>
      <c r="CV33" s="232">
        <f t="shared" si="120"/>
        <v>0.71816180697843002</v>
      </c>
      <c r="CW33" s="232">
        <f t="shared" si="7"/>
        <v>38.470825341778593</v>
      </c>
      <c r="CY33" s="229">
        <f t="shared" si="8"/>
        <v>1.19</v>
      </c>
      <c r="CZ33" s="229">
        <f t="shared" si="9"/>
        <v>0.70658935679249191</v>
      </c>
      <c r="DA33" s="229">
        <f t="shared" si="10"/>
        <v>0.54828942590219076</v>
      </c>
      <c r="DB33" s="229">
        <f t="shared" si="11"/>
        <v>1.1771382812526097</v>
      </c>
      <c r="DC33" s="229">
        <f t="shared" si="12"/>
        <v>0.57999999999999996</v>
      </c>
      <c r="DD33" s="229">
        <f t="shared" si="13"/>
        <v>0.54792540998014361</v>
      </c>
      <c r="DE33" s="229">
        <f t="shared" si="14"/>
        <v>0.8</v>
      </c>
      <c r="DF33" s="229">
        <f t="shared" si="15"/>
        <v>0.79284892484677649</v>
      </c>
      <c r="DG33" s="229">
        <f t="shared" si="16"/>
        <v>0.28225304201667761</v>
      </c>
      <c r="DH33" s="229">
        <f t="shared" si="17"/>
        <v>35.599851771410925</v>
      </c>
      <c r="DJ33" s="234">
        <f t="shared" si="121"/>
        <v>0.11584708668151608</v>
      </c>
      <c r="DK33" s="234">
        <f t="shared" si="122"/>
        <v>0.15655011713718389</v>
      </c>
      <c r="DL33" s="234">
        <f t="shared" si="123"/>
        <v>0.11944605313150115</v>
      </c>
      <c r="DM33" s="234">
        <f t="shared" si="18"/>
        <v>0.13061441898340037</v>
      </c>
      <c r="DN33" s="234">
        <f t="shared" si="19"/>
        <v>2.2532941861198596E-2</v>
      </c>
      <c r="DO33" s="234">
        <f t="shared" si="20"/>
        <v>17.251496455427542</v>
      </c>
      <c r="DQ33" s="229">
        <f t="shared" si="124"/>
        <v>3.49</v>
      </c>
      <c r="DR33" s="229">
        <f t="shared" si="125"/>
        <v>3.8719510902820078</v>
      </c>
      <c r="DS33" s="229">
        <f t="shared" si="126"/>
        <v>3.0324563513982818</v>
      </c>
      <c r="DT33" s="229">
        <f t="shared" si="127"/>
        <v>2.6207891968211836</v>
      </c>
      <c r="DU33" s="229">
        <f t="shared" si="128"/>
        <v>3.8719510902820078</v>
      </c>
      <c r="DV33" s="229">
        <f t="shared" si="129"/>
        <v>1.97</v>
      </c>
      <c r="DW33" s="229">
        <f t="shared" si="130"/>
        <v>1.1107</v>
      </c>
      <c r="DX33" s="229">
        <f t="shared" si="131"/>
        <v>3.5813318161024137</v>
      </c>
      <c r="DY33" s="229">
        <f t="shared" si="21"/>
        <v>2.9436474431107369</v>
      </c>
      <c r="DZ33" s="229">
        <f t="shared" si="22"/>
        <v>0.98911561802528891</v>
      </c>
      <c r="EA33" s="229">
        <f t="shared" si="23"/>
        <v>33.60170119353792</v>
      </c>
      <c r="EC33" s="235">
        <f t="shared" si="132"/>
        <v>0.21009087743189198</v>
      </c>
      <c r="ED33" s="235">
        <f t="shared" si="133"/>
        <v>0.15</v>
      </c>
      <c r="EE33" s="235">
        <f t="shared" si="134"/>
        <v>0.17220512885090228</v>
      </c>
      <c r="EF33" s="235">
        <f t="shared" si="135"/>
        <v>0.14987274726508909</v>
      </c>
      <c r="EG33" s="235">
        <f t="shared" si="136"/>
        <v>0.17054218838697083</v>
      </c>
      <c r="EH33" s="235">
        <f t="shared" si="137"/>
        <v>2.8378815315743235E-2</v>
      </c>
      <c r="EI33" s="235">
        <f t="shared" si="24"/>
        <v>16.640348985876702</v>
      </c>
      <c r="EK33" s="236">
        <f t="shared" si="138"/>
        <v>20.705381659388649</v>
      </c>
      <c r="EL33" s="236">
        <f t="shared" si="139"/>
        <v>27.693885877907448</v>
      </c>
      <c r="EM33" s="236">
        <f t="shared" si="140"/>
        <v>28.287932459558164</v>
      </c>
      <c r="EN33" s="236">
        <f t="shared" si="141"/>
        <v>14.4</v>
      </c>
      <c r="EO33" s="236">
        <f t="shared" si="142"/>
        <v>27.709869335674377</v>
      </c>
      <c r="EP33" s="236">
        <f t="shared" si="143"/>
        <v>28.287932459558164</v>
      </c>
      <c r="EQ33" s="236">
        <f t="shared" si="144"/>
        <v>31.656853683863119</v>
      </c>
      <c r="ER33" s="236">
        <f t="shared" si="145"/>
        <v>25.534550782278561</v>
      </c>
      <c r="ES33" s="236">
        <f t="shared" si="146"/>
        <v>5.9067567037656765</v>
      </c>
      <c r="ET33" s="236">
        <f t="shared" si="25"/>
        <v>23.132408923618396</v>
      </c>
      <c r="EV33" s="238">
        <f t="shared" si="147"/>
        <v>1.565501171371839E-2</v>
      </c>
      <c r="EW33" s="238">
        <f t="shared" si="148"/>
        <v>1.565501171371839E-2</v>
      </c>
      <c r="EX33" s="238" t="e">
        <f t="shared" si="149"/>
        <v>#DIV/0!</v>
      </c>
      <c r="EY33" s="238" t="e">
        <f t="shared" si="26"/>
        <v>#DIV/0!</v>
      </c>
      <c r="FA33" s="240">
        <f t="shared" si="150"/>
        <v>0.48530536312527006</v>
      </c>
      <c r="FB33" s="240">
        <f t="shared" si="151"/>
        <v>0.65203123787523953</v>
      </c>
      <c r="FC33" s="240">
        <f t="shared" si="152"/>
        <v>0.56866830050025485</v>
      </c>
      <c r="FD33" s="240">
        <f t="shared" si="153"/>
        <v>0.11789299663496178</v>
      </c>
      <c r="FE33" s="240">
        <f t="shared" si="27"/>
        <v>20.731416984426925</v>
      </c>
      <c r="FG33" s="236">
        <f t="shared" si="154"/>
        <v>1.2</v>
      </c>
      <c r="FH33" s="236">
        <f t="shared" si="155"/>
        <v>1.4022624491774569</v>
      </c>
      <c r="FI33" s="236">
        <f t="shared" si="156"/>
        <v>1.2915384663817671</v>
      </c>
      <c r="FJ33" s="236">
        <f t="shared" si="157"/>
        <v>0.92</v>
      </c>
      <c r="FK33" s="236">
        <f t="shared" si="158"/>
        <v>1.2524009370974711</v>
      </c>
      <c r="FL33" s="236">
        <f t="shared" si="159"/>
        <v>0.9</v>
      </c>
      <c r="FM33" s="236">
        <f t="shared" si="160"/>
        <v>1.1610336421094491</v>
      </c>
      <c r="FN33" s="236">
        <f t="shared" si="161"/>
        <v>0.20558452524446316</v>
      </c>
      <c r="FO33" s="236">
        <f t="shared" si="28"/>
        <v>17.707025687123281</v>
      </c>
      <c r="FQ33" s="227">
        <f t="shared" si="162"/>
        <v>0.32</v>
      </c>
      <c r="FR33" s="227">
        <f t="shared" si="163"/>
        <v>0.35630459974861856</v>
      </c>
      <c r="FS33" s="227">
        <f t="shared" si="164"/>
        <v>0.35630459974861856</v>
      </c>
      <c r="FT33" s="227">
        <f t="shared" si="165"/>
        <v>0.24</v>
      </c>
      <c r="FU33" s="227">
        <f t="shared" si="166"/>
        <v>0.32617216905532259</v>
      </c>
      <c r="FV33" s="227">
        <f t="shared" si="29"/>
        <v>0.31975627371051191</v>
      </c>
      <c r="FW33" s="227">
        <f t="shared" si="30"/>
        <v>4.762837018033856E-2</v>
      </c>
      <c r="FX33" s="227">
        <f t="shared" si="31"/>
        <v>14.895210538842599</v>
      </c>
      <c r="FZ33" s="230">
        <f t="shared" si="167"/>
        <v>1.643776229940431</v>
      </c>
      <c r="GA33" s="230">
        <f t="shared" si="168"/>
        <v>2.4700000000000002</v>
      </c>
      <c r="GB33" s="230">
        <f t="shared" si="169"/>
        <v>3.4750711638052572</v>
      </c>
      <c r="GC33" s="230">
        <f t="shared" si="170"/>
        <v>2.5296157979152292</v>
      </c>
      <c r="GD33" s="230">
        <f t="shared" si="171"/>
        <v>0.91710185705871783</v>
      </c>
      <c r="GE33" s="230">
        <f t="shared" si="32"/>
        <v>36.254590828162243</v>
      </c>
      <c r="GG33" s="231">
        <f t="shared" si="172"/>
        <v>0.10958508199602872</v>
      </c>
      <c r="GH33" s="231">
        <f t="shared" si="173"/>
        <v>0.05</v>
      </c>
      <c r="GI33" s="231">
        <f t="shared" si="174"/>
        <v>0.05</v>
      </c>
      <c r="GJ33" s="231">
        <f t="shared" si="175"/>
        <v>0.1214828908984547</v>
      </c>
      <c r="GK33" s="245">
        <f t="shared" si="186"/>
        <v>7.38276302994849E-2</v>
      </c>
      <c r="GL33" s="231">
        <f t="shared" si="187"/>
        <v>4.1270666302675486E-2</v>
      </c>
      <c r="GM33" s="231">
        <f t="shared" si="33"/>
        <v>55.901382904014774</v>
      </c>
      <c r="GO33" s="246">
        <f t="shared" si="176"/>
        <v>0.18</v>
      </c>
      <c r="GP33" s="246">
        <f t="shared" si="177"/>
        <v>0.18003263470776146</v>
      </c>
      <c r="GQ33" s="247">
        <f t="shared" si="188"/>
        <v>0.18001631735388074</v>
      </c>
      <c r="GR33" s="246">
        <f t="shared" si="189"/>
        <v>2.3076223160172559E-5</v>
      </c>
      <c r="GS33" s="246">
        <f t="shared" si="34"/>
        <v>1.2818961913774027E-2</v>
      </c>
      <c r="GU33" s="249">
        <f t="shared" si="178"/>
        <v>2.2175324092482098E-2</v>
      </c>
      <c r="GV33" s="249">
        <f t="shared" si="179"/>
        <v>2.2175324092482098E-2</v>
      </c>
      <c r="GW33" s="249" t="e">
        <f t="shared" si="180"/>
        <v>#DIV/0!</v>
      </c>
      <c r="GX33" s="249" t="e">
        <f t="shared" si="35"/>
        <v>#DIV/0!</v>
      </c>
      <c r="GZ33" s="240">
        <f t="shared" si="181"/>
        <v>2.3482517570577587E-2</v>
      </c>
      <c r="HA33" s="240">
        <f t="shared" si="182"/>
        <v>2.3482517570577587E-2</v>
      </c>
      <c r="HB33" s="240" t="e">
        <f t="shared" si="183"/>
        <v>#DIV/0!</v>
      </c>
      <c r="HC33" s="240" t="e">
        <f t="shared" si="36"/>
        <v>#DIV/0!</v>
      </c>
      <c r="HE33" s="234">
        <f t="shared" si="184"/>
        <v>9.2717119696624398E-2</v>
      </c>
      <c r="HF33" s="234">
        <f t="shared" si="185"/>
        <v>9.2717119696624398E-2</v>
      </c>
      <c r="HG33" s="251">
        <f t="shared" si="190"/>
        <v>9.2717119696624398E-2</v>
      </c>
      <c r="HH33" s="234">
        <f t="shared" si="191"/>
        <v>0</v>
      </c>
      <c r="HI33" s="234">
        <f t="shared" si="37"/>
        <v>0</v>
      </c>
    </row>
    <row r="34" spans="2:217" ht="15.6" x14ac:dyDescent="0.25">
      <c r="B34">
        <v>30</v>
      </c>
      <c r="C34" s="124">
        <f t="shared" si="38"/>
        <v>78.281765220291192</v>
      </c>
      <c r="D34" s="124">
        <f t="shared" si="39"/>
        <v>180.66861238579202</v>
      </c>
      <c r="E34" s="29">
        <f t="shared" si="40"/>
        <v>2.1893346866537144</v>
      </c>
      <c r="F34" s="29">
        <f t="shared" si="41"/>
        <v>1.9893334249617469</v>
      </c>
      <c r="G34" s="29">
        <f t="shared" si="42"/>
        <v>1.9834079380217213</v>
      </c>
      <c r="H34" s="29">
        <f t="shared" si="43"/>
        <v>1.9884869001000611</v>
      </c>
      <c r="I34" s="29">
        <f t="shared" si="44"/>
        <v>2.0136776414492439</v>
      </c>
      <c r="J34" s="29">
        <f t="shared" si="45"/>
        <v>1.9884869001000611</v>
      </c>
      <c r="K34" s="29">
        <f t="shared" si="46"/>
        <v>1.9820764853403083</v>
      </c>
      <c r="L34" s="125">
        <f t="shared" si="0"/>
        <v>2.0192577109466936</v>
      </c>
      <c r="M34" s="126">
        <f t="shared" si="1"/>
        <v>7.5734308704438646E-2</v>
      </c>
      <c r="N34" s="126">
        <f t="shared" si="47"/>
        <v>3.7506014360560216</v>
      </c>
      <c r="P34" s="138">
        <f t="shared" si="48"/>
        <v>424.04411929880564</v>
      </c>
      <c r="Q34" s="138">
        <f t="shared" si="49"/>
        <v>325.79239999999999</v>
      </c>
      <c r="R34" s="138">
        <f t="shared" si="50"/>
        <v>424.04411929880564</v>
      </c>
      <c r="S34" s="138">
        <f t="shared" si="51"/>
        <v>422.87274618716162</v>
      </c>
      <c r="T34" s="138">
        <f t="shared" si="52"/>
        <v>454.33327928809348</v>
      </c>
      <c r="U34" s="138">
        <f t="shared" si="53"/>
        <v>424.04411929880564</v>
      </c>
      <c r="V34" s="138">
        <f t="shared" si="54"/>
        <v>326.98199999999997</v>
      </c>
      <c r="W34" s="138">
        <f t="shared" si="55"/>
        <v>400.30182619595314</v>
      </c>
      <c r="X34" s="138">
        <f t="shared" si="56"/>
        <v>51.716189121167226</v>
      </c>
      <c r="Y34" s="138">
        <f t="shared" si="57"/>
        <v>12.919298823246301</v>
      </c>
      <c r="AA34" s="227">
        <f t="shared" si="58"/>
        <v>0.44727644999999999</v>
      </c>
      <c r="AB34" s="227">
        <f t="shared" si="59"/>
        <v>0.40247382198952875</v>
      </c>
      <c r="AC34" s="227">
        <f t="shared" si="60"/>
        <v>0.47</v>
      </c>
      <c r="AD34" s="227">
        <f t="shared" si="61"/>
        <v>0.44727644999999999</v>
      </c>
      <c r="AE34" s="227">
        <f t="shared" si="62"/>
        <v>0.44175668049738215</v>
      </c>
      <c r="AF34" s="227">
        <f t="shared" si="63"/>
        <v>2.8294662510793107E-2</v>
      </c>
      <c r="AG34" s="227">
        <f t="shared" si="64"/>
        <v>6.4050333045185894</v>
      </c>
      <c r="AI34" s="228">
        <f t="shared" si="65"/>
        <v>4.5251467964432193</v>
      </c>
      <c r="AJ34" s="228">
        <f t="shared" si="66"/>
        <v>4.5251467964432193</v>
      </c>
      <c r="AK34" s="228">
        <f t="shared" si="67"/>
        <v>4.5251467964432193</v>
      </c>
      <c r="AL34" s="228">
        <f t="shared" si="68"/>
        <v>7.0197298418245682</v>
      </c>
      <c r="AM34" s="228">
        <f t="shared" si="69"/>
        <v>4.28</v>
      </c>
      <c r="AN34" s="228">
        <f t="shared" si="70"/>
        <v>5.0883147393189274</v>
      </c>
      <c r="AO34" s="228">
        <f t="shared" si="71"/>
        <v>4.6332316142624581</v>
      </c>
      <c r="AP34" s="228">
        <f t="shared" si="72"/>
        <v>4.9423880835336584</v>
      </c>
      <c r="AQ34" s="228">
        <f t="shared" si="73"/>
        <v>0.94809018033326209</v>
      </c>
      <c r="AR34" s="228">
        <f t="shared" si="74"/>
        <v>19.182835590996454</v>
      </c>
      <c r="AT34" s="229">
        <f t="shared" si="75"/>
        <v>1.3995844875346262</v>
      </c>
      <c r="AU34" s="229">
        <f t="shared" si="76"/>
        <v>1.47</v>
      </c>
      <c r="AV34" s="229">
        <f t="shared" si="77"/>
        <v>1.3820964746838602</v>
      </c>
      <c r="AW34" s="229">
        <f t="shared" si="78"/>
        <v>1.3995844875346262</v>
      </c>
      <c r="AX34" s="229">
        <f t="shared" si="79"/>
        <v>0.5697465014551929</v>
      </c>
      <c r="AY34" s="229">
        <f t="shared" si="80"/>
        <v>1.3</v>
      </c>
      <c r="AZ34" s="229">
        <f t="shared" si="81"/>
        <v>1.2999999673734799</v>
      </c>
      <c r="BA34" s="229">
        <f t="shared" si="82"/>
        <v>1.2705912420049212</v>
      </c>
      <c r="BB34" s="229">
        <f t="shared" si="83"/>
        <v>1.2614503950733382</v>
      </c>
      <c r="BC34" s="229">
        <f t="shared" si="84"/>
        <v>0.28728294721762665</v>
      </c>
      <c r="BD34" s="229">
        <f t="shared" si="85"/>
        <v>22.774018569388502</v>
      </c>
      <c r="BF34" s="230">
        <f t="shared" si="86"/>
        <v>11.73</v>
      </c>
      <c r="BG34" s="230">
        <f t="shared" si="87"/>
        <v>6.27</v>
      </c>
      <c r="BH34" s="230">
        <f t="shared" si="88"/>
        <v>6.6146460943197303</v>
      </c>
      <c r="BI34" s="230">
        <f t="shared" si="2"/>
        <v>8.2048820314399098</v>
      </c>
      <c r="BJ34" s="230">
        <f t="shared" si="3"/>
        <v>3.0577013836837255</v>
      </c>
      <c r="BK34" s="230">
        <f t="shared" si="89"/>
        <v>37.266853709377664</v>
      </c>
      <c r="BM34" s="227">
        <f t="shared" si="90"/>
        <v>31.73</v>
      </c>
      <c r="BN34" s="227">
        <f t="shared" si="91"/>
        <v>24.83560544651646</v>
      </c>
      <c r="BO34" s="227">
        <f t="shared" si="92"/>
        <v>22.68090389464421</v>
      </c>
      <c r="BP34" s="227">
        <f t="shared" si="93"/>
        <v>24.83560544651646</v>
      </c>
      <c r="BQ34" s="227">
        <f t="shared" si="94"/>
        <v>15.17</v>
      </c>
      <c r="BR34" s="227">
        <f t="shared" si="95"/>
        <v>22.747080675996248</v>
      </c>
      <c r="BS34" s="227">
        <f t="shared" si="96"/>
        <v>19.95</v>
      </c>
      <c r="BT34" s="227">
        <f t="shared" si="4"/>
        <v>23.135599351953342</v>
      </c>
      <c r="BU34" s="227">
        <f t="shared" si="5"/>
        <v>5.0596487844137652</v>
      </c>
      <c r="BV34" s="227">
        <f t="shared" si="97"/>
        <v>21.86953840029469</v>
      </c>
      <c r="BX34" s="231">
        <f t="shared" si="98"/>
        <v>0.34253334952190784</v>
      </c>
      <c r="BY34" s="231">
        <f t="shared" si="99"/>
        <v>0.30888301857105249</v>
      </c>
      <c r="BZ34" s="231">
        <f t="shared" si="100"/>
        <v>0.31810464479871187</v>
      </c>
      <c r="CA34" s="231">
        <f t="shared" si="101"/>
        <v>0.24</v>
      </c>
      <c r="CB34" s="231">
        <f t="shared" si="102"/>
        <v>0.36035344830825283</v>
      </c>
      <c r="CC34" s="231">
        <f t="shared" si="103"/>
        <v>0.32499168391770328</v>
      </c>
      <c r="CD34" s="231">
        <f t="shared" si="104"/>
        <v>0.48</v>
      </c>
      <c r="CE34" s="231">
        <f t="shared" si="105"/>
        <v>0.47886555920414919</v>
      </c>
      <c r="CF34" s="231">
        <f t="shared" si="106"/>
        <v>0.3567164630402222</v>
      </c>
      <c r="CG34" s="231">
        <f t="shared" si="107"/>
        <v>8.3445213697014631E-2</v>
      </c>
      <c r="CH34" s="231">
        <f t="shared" si="6"/>
        <v>23.392588327947628</v>
      </c>
      <c r="CJ34" s="232">
        <f t="shared" si="108"/>
        <v>1.5183572991351568</v>
      </c>
      <c r="CK34" s="232">
        <f t="shared" si="109"/>
        <v>1.5183572991351568</v>
      </c>
      <c r="CL34" s="232">
        <f t="shared" si="110"/>
        <v>2.1</v>
      </c>
      <c r="CM34" s="232">
        <f t="shared" si="111"/>
        <v>1.8535766114734489</v>
      </c>
      <c r="CN34" s="232">
        <f t="shared" si="112"/>
        <v>1.8955231803908903</v>
      </c>
      <c r="CO34" s="232">
        <f t="shared" si="113"/>
        <v>1.5033715879938878</v>
      </c>
      <c r="CP34" s="232">
        <f t="shared" si="114"/>
        <v>1.5193136983554825</v>
      </c>
      <c r="CQ34" s="232">
        <f t="shared" si="115"/>
        <v>1.8382380415724124</v>
      </c>
      <c r="CR34" s="232">
        <f t="shared" si="116"/>
        <v>3.9219164375365887</v>
      </c>
      <c r="CS34" s="232">
        <f t="shared" si="117"/>
        <v>1.41</v>
      </c>
      <c r="CT34" s="232">
        <f t="shared" si="118"/>
        <v>1.4406475497612268</v>
      </c>
      <c r="CU34" s="232">
        <f t="shared" si="119"/>
        <v>1.8653910641231137</v>
      </c>
      <c r="CV34" s="232">
        <f t="shared" si="120"/>
        <v>0.71872132034573655</v>
      </c>
      <c r="CW34" s="232">
        <f t="shared" si="7"/>
        <v>38.529257171262067</v>
      </c>
      <c r="CY34" s="229">
        <f t="shared" si="8"/>
        <v>1.19</v>
      </c>
      <c r="CZ34" s="229">
        <f t="shared" si="9"/>
        <v>0.70794216220240014</v>
      </c>
      <c r="DA34" s="229">
        <f t="shared" si="10"/>
        <v>0.54656675684507583</v>
      </c>
      <c r="DB34" s="229">
        <f t="shared" si="11"/>
        <v>1.1772152512441982</v>
      </c>
      <c r="DC34" s="229">
        <f t="shared" si="12"/>
        <v>0.57999999999999996</v>
      </c>
      <c r="DD34" s="229">
        <f t="shared" si="13"/>
        <v>0.54797235654203835</v>
      </c>
      <c r="DE34" s="229">
        <f t="shared" si="14"/>
        <v>0.8</v>
      </c>
      <c r="DF34" s="229">
        <f t="shared" si="15"/>
        <v>0.79281378954767312</v>
      </c>
      <c r="DG34" s="229">
        <f t="shared" si="16"/>
        <v>0.28244493319628844</v>
      </c>
      <c r="DH34" s="229">
        <f t="shared" si="17"/>
        <v>35.625633272276048</v>
      </c>
      <c r="DJ34" s="234">
        <f t="shared" si="121"/>
        <v>0.11585701252603096</v>
      </c>
      <c r="DK34" s="234">
        <f t="shared" si="122"/>
        <v>0.15656353044058238</v>
      </c>
      <c r="DL34" s="234">
        <f t="shared" si="123"/>
        <v>0.11914957787930848</v>
      </c>
      <c r="DM34" s="234">
        <f t="shared" si="18"/>
        <v>0.13052337361530728</v>
      </c>
      <c r="DN34" s="234">
        <f t="shared" si="19"/>
        <v>2.2611447814438905E-2</v>
      </c>
      <c r="DO34" s="234">
        <f t="shared" si="20"/>
        <v>17.323677122445389</v>
      </c>
      <c r="DQ34" s="229">
        <f t="shared" si="124"/>
        <v>3.49</v>
      </c>
      <c r="DR34" s="229">
        <f t="shared" si="125"/>
        <v>3.8673835888509203</v>
      </c>
      <c r="DS34" s="229">
        <f t="shared" si="126"/>
        <v>3.0288865664200402</v>
      </c>
      <c r="DT34" s="229">
        <f t="shared" si="127"/>
        <v>2.6209643613810703</v>
      </c>
      <c r="DU34" s="229">
        <f t="shared" si="128"/>
        <v>3.8673835888509203</v>
      </c>
      <c r="DV34" s="229">
        <f t="shared" si="129"/>
        <v>1.97</v>
      </c>
      <c r="DW34" s="229">
        <f t="shared" si="130"/>
        <v>1.149</v>
      </c>
      <c r="DX34" s="229">
        <f t="shared" si="131"/>
        <v>3.5673812456973533</v>
      </c>
      <c r="DY34" s="229">
        <f t="shared" si="21"/>
        <v>2.9451249189000377</v>
      </c>
      <c r="DZ34" s="229">
        <f t="shared" si="22"/>
        <v>0.9764544690754462</v>
      </c>
      <c r="EA34" s="229">
        <f t="shared" si="23"/>
        <v>33.154942352670666</v>
      </c>
      <c r="EC34" s="235">
        <f t="shared" si="132"/>
        <v>0.21010595384066186</v>
      </c>
      <c r="ED34" s="235">
        <f t="shared" si="133"/>
        <v>0.15</v>
      </c>
      <c r="EE34" s="235">
        <f t="shared" si="134"/>
        <v>0.17221988348464062</v>
      </c>
      <c r="EF34" s="235">
        <f t="shared" si="135"/>
        <v>0.14952535927983487</v>
      </c>
      <c r="EG34" s="235">
        <f t="shared" si="136"/>
        <v>0.17046279915128434</v>
      </c>
      <c r="EH34" s="235">
        <f t="shared" si="137"/>
        <v>2.8470859936414544E-2</v>
      </c>
      <c r="EI34" s="235">
        <f t="shared" si="24"/>
        <v>16.702095752368169</v>
      </c>
      <c r="EK34" s="236">
        <f t="shared" si="138"/>
        <v>20.705381659388649</v>
      </c>
      <c r="EL34" s="236">
        <f t="shared" si="139"/>
        <v>27.834837955429727</v>
      </c>
      <c r="EM34" s="236">
        <f t="shared" si="140"/>
        <v>28.431908023932305</v>
      </c>
      <c r="EN34" s="236">
        <f t="shared" si="141"/>
        <v>14.4</v>
      </c>
      <c r="EO34" s="236">
        <f t="shared" si="142"/>
        <v>27.802739573554057</v>
      </c>
      <c r="EP34" s="236">
        <f t="shared" si="143"/>
        <v>28.431908023932305</v>
      </c>
      <c r="EQ34" s="236">
        <f t="shared" si="144"/>
        <v>31.66247852396155</v>
      </c>
      <c r="ER34" s="236">
        <f t="shared" si="145"/>
        <v>25.609893394314081</v>
      </c>
      <c r="ES34" s="236">
        <f t="shared" si="146"/>
        <v>5.9446925604125012</v>
      </c>
      <c r="ET34" s="236">
        <f t="shared" si="25"/>
        <v>23.212484600706475</v>
      </c>
      <c r="EV34" s="238">
        <f t="shared" si="147"/>
        <v>1.5656353044058238E-2</v>
      </c>
      <c r="EW34" s="238">
        <f t="shared" si="148"/>
        <v>1.5656353044058238E-2</v>
      </c>
      <c r="EX34" s="238" t="e">
        <f t="shared" si="149"/>
        <v>#DIV/0!</v>
      </c>
      <c r="EY34" s="238" t="e">
        <f t="shared" si="26"/>
        <v>#DIV/0!</v>
      </c>
      <c r="FA34" s="240">
        <f t="shared" si="150"/>
        <v>0.48534694436580539</v>
      </c>
      <c r="FB34" s="240">
        <f t="shared" si="151"/>
        <v>0.65208710428485972</v>
      </c>
      <c r="FC34" s="240">
        <f t="shared" si="152"/>
        <v>0.56871702432533255</v>
      </c>
      <c r="FD34" s="240">
        <f t="shared" si="153"/>
        <v>0.11790309777489298</v>
      </c>
      <c r="FE34" s="240">
        <f t="shared" si="27"/>
        <v>20.731416984529538</v>
      </c>
      <c r="FG34" s="236">
        <f t="shared" si="154"/>
        <v>1.2</v>
      </c>
      <c r="FH34" s="236">
        <f t="shared" si="155"/>
        <v>1.4000702364942172</v>
      </c>
      <c r="FI34" s="236">
        <f t="shared" si="156"/>
        <v>1.2916491261348046</v>
      </c>
      <c r="FJ34" s="236">
        <f t="shared" si="157"/>
        <v>0.92</v>
      </c>
      <c r="FK34" s="236">
        <f t="shared" si="158"/>
        <v>1.2525082435246591</v>
      </c>
      <c r="FL34" s="236">
        <f t="shared" si="159"/>
        <v>0.9</v>
      </c>
      <c r="FM34" s="236">
        <f t="shared" si="160"/>
        <v>1.1607046010256135</v>
      </c>
      <c r="FN34" s="236">
        <f t="shared" si="161"/>
        <v>0.20509510340660678</v>
      </c>
      <c r="FO34" s="236">
        <f t="shared" si="28"/>
        <v>17.669879418534407</v>
      </c>
      <c r="FQ34" s="227">
        <f t="shared" si="162"/>
        <v>0.32</v>
      </c>
      <c r="FR34" s="227">
        <f t="shared" si="163"/>
        <v>0.35545758504474789</v>
      </c>
      <c r="FS34" s="227">
        <f t="shared" si="164"/>
        <v>0.35545758504474789</v>
      </c>
      <c r="FT34" s="227">
        <f t="shared" si="165"/>
        <v>0.24</v>
      </c>
      <c r="FU34" s="227">
        <f t="shared" si="166"/>
        <v>0.32620011567295337</v>
      </c>
      <c r="FV34" s="227">
        <f t="shared" si="29"/>
        <v>0.31942305715248986</v>
      </c>
      <c r="FW34" s="227">
        <f t="shared" si="30"/>
        <v>4.7305543526954798E-2</v>
      </c>
      <c r="FX34" s="227">
        <f t="shared" si="31"/>
        <v>14.80968341755352</v>
      </c>
      <c r="FZ34" s="230">
        <f t="shared" si="167"/>
        <v>1.6439170696261152</v>
      </c>
      <c r="GA34" s="230">
        <f t="shared" si="168"/>
        <v>2.4700000000000002</v>
      </c>
      <c r="GB34" s="230">
        <f t="shared" si="169"/>
        <v>3.4813847917042127</v>
      </c>
      <c r="GC34" s="230">
        <f t="shared" si="170"/>
        <v>2.5317672871101093</v>
      </c>
      <c r="GD34" s="230">
        <f t="shared" si="171"/>
        <v>0.9202897944329419</v>
      </c>
      <c r="GE34" s="230">
        <f t="shared" si="32"/>
        <v>36.349699244412328</v>
      </c>
      <c r="GG34" s="231">
        <f t="shared" si="172"/>
        <v>0.10959447130840767</v>
      </c>
      <c r="GH34" s="231">
        <f t="shared" si="173"/>
        <v>0.05</v>
      </c>
      <c r="GI34" s="231">
        <f t="shared" si="174"/>
        <v>0.05</v>
      </c>
      <c r="GJ34" s="231">
        <f t="shared" si="175"/>
        <v>0.12149329962189193</v>
      </c>
      <c r="GK34" s="245">
        <f t="shared" si="186"/>
        <v>7.3831099873963982E-2</v>
      </c>
      <c r="GL34" s="231">
        <f t="shared" si="187"/>
        <v>4.1276675781953848E-2</v>
      </c>
      <c r="GM34" s="231">
        <f t="shared" si="33"/>
        <v>55.906895403721023</v>
      </c>
      <c r="GO34" s="246">
        <f t="shared" si="176"/>
        <v>0.18</v>
      </c>
      <c r="GP34" s="246">
        <f t="shared" si="177"/>
        <v>0.18004806000666973</v>
      </c>
      <c r="GQ34" s="247">
        <f t="shared" si="188"/>
        <v>0.18002403000333486</v>
      </c>
      <c r="GR34" s="246">
        <f t="shared" si="189"/>
        <v>3.3983556620041559E-5</v>
      </c>
      <c r="GS34" s="246">
        <f t="shared" si="34"/>
        <v>1.8877233566769965E-2</v>
      </c>
      <c r="GU34" s="249">
        <f t="shared" si="178"/>
        <v>2.2177224086908493E-2</v>
      </c>
      <c r="GV34" s="249">
        <f t="shared" si="179"/>
        <v>2.2177224086908493E-2</v>
      </c>
      <c r="GW34" s="249" t="e">
        <f t="shared" si="180"/>
        <v>#DIV/0!</v>
      </c>
      <c r="GX34" s="249" t="e">
        <f t="shared" si="35"/>
        <v>#DIV/0!</v>
      </c>
      <c r="GZ34" s="240">
        <f t="shared" si="181"/>
        <v>2.3484529566087358E-2</v>
      </c>
      <c r="HA34" s="240">
        <f t="shared" si="182"/>
        <v>2.3484529566087358E-2</v>
      </c>
      <c r="HB34" s="240" t="e">
        <f t="shared" si="183"/>
        <v>#DIV/0!</v>
      </c>
      <c r="HC34" s="240" t="e">
        <f t="shared" si="36"/>
        <v>#DIV/0!</v>
      </c>
      <c r="HE34" s="234">
        <f t="shared" si="184"/>
        <v>9.2725100612146505E-2</v>
      </c>
      <c r="HF34" s="234">
        <f t="shared" si="185"/>
        <v>9.2725100612146505E-2</v>
      </c>
      <c r="HG34" s="251">
        <f t="shared" si="190"/>
        <v>9.2725100612146505E-2</v>
      </c>
      <c r="HH34" s="234">
        <f t="shared" si="191"/>
        <v>0</v>
      </c>
      <c r="HI34" s="234">
        <f t="shared" si="37"/>
        <v>0</v>
      </c>
    </row>
    <row r="35" spans="2:217" ht="15.6" x14ac:dyDescent="0.25">
      <c r="B35">
        <v>31</v>
      </c>
      <c r="C35" s="124">
        <f t="shared" si="38"/>
        <v>78.301974649545286</v>
      </c>
      <c r="D35" s="124">
        <f t="shared" si="39"/>
        <v>180.14751122601933</v>
      </c>
      <c r="E35" s="29">
        <f t="shared" si="40"/>
        <v>2.1862857875670727</v>
      </c>
      <c r="F35" s="29">
        <f t="shared" si="41"/>
        <v>1.9871741942079992</v>
      </c>
      <c r="G35" s="29">
        <f t="shared" si="42"/>
        <v>1.9794759090214693</v>
      </c>
      <c r="H35" s="29">
        <f t="shared" si="43"/>
        <v>1.9863285881679109</v>
      </c>
      <c r="I35" s="29">
        <f t="shared" si="44"/>
        <v>2.0115062037871754</v>
      </c>
      <c r="J35" s="29">
        <f t="shared" si="45"/>
        <v>1.9863285881679107</v>
      </c>
      <c r="K35" s="29">
        <f t="shared" si="46"/>
        <v>1.9794714401968831</v>
      </c>
      <c r="L35" s="125">
        <f t="shared" si="0"/>
        <v>2.0166529587309174</v>
      </c>
      <c r="M35" s="126">
        <f t="shared" si="1"/>
        <v>7.5580549205120168E-2</v>
      </c>
      <c r="N35" s="126">
        <f t="shared" si="47"/>
        <v>3.7478213035069312</v>
      </c>
      <c r="P35" s="138">
        <f t="shared" si="48"/>
        <v>423.49712133349266</v>
      </c>
      <c r="Q35" s="138">
        <f t="shared" si="49"/>
        <v>325.79239999999999</v>
      </c>
      <c r="R35" s="138">
        <f t="shared" si="50"/>
        <v>423.49712133349266</v>
      </c>
      <c r="S35" s="138">
        <f t="shared" si="51"/>
        <v>420.07163649127602</v>
      </c>
      <c r="T35" s="138">
        <f t="shared" si="52"/>
        <v>454.42494031579588</v>
      </c>
      <c r="U35" s="138">
        <f t="shared" si="53"/>
        <v>423.49712133349266</v>
      </c>
      <c r="V35" s="138">
        <f t="shared" si="54"/>
        <v>324.02118000000002</v>
      </c>
      <c r="W35" s="138">
        <f t="shared" si="55"/>
        <v>399.25736011536429</v>
      </c>
      <c r="X35" s="138">
        <f t="shared" si="56"/>
        <v>52.116819487671194</v>
      </c>
      <c r="Y35" s="138">
        <f t="shared" si="57"/>
        <v>13.053439884642874</v>
      </c>
      <c r="AA35" s="227">
        <f t="shared" si="58"/>
        <v>0.44806367465000002</v>
      </c>
      <c r="AB35" s="227">
        <f t="shared" si="59"/>
        <v>0.40285714285714286</v>
      </c>
      <c r="AC35" s="227">
        <f t="shared" si="60"/>
        <v>0.47</v>
      </c>
      <c r="AD35" s="227">
        <f t="shared" si="61"/>
        <v>0.44806367465000002</v>
      </c>
      <c r="AE35" s="227">
        <f t="shared" si="62"/>
        <v>0.44224612303928573</v>
      </c>
      <c r="AF35" s="227">
        <f t="shared" si="63"/>
        <v>2.8222079179408201E-2</v>
      </c>
      <c r="AG35" s="227">
        <f t="shared" si="64"/>
        <v>6.3815322982268787</v>
      </c>
      <c r="AI35" s="228">
        <f t="shared" si="65"/>
        <v>4.5180951938769249</v>
      </c>
      <c r="AJ35" s="228">
        <f t="shared" si="66"/>
        <v>4.5180951938769249</v>
      </c>
      <c r="AK35" s="228">
        <f t="shared" si="67"/>
        <v>4.5180951938769249</v>
      </c>
      <c r="AL35" s="228">
        <f t="shared" si="68"/>
        <v>7.0215415203078999</v>
      </c>
      <c r="AM35" s="228">
        <f t="shared" si="69"/>
        <v>4.28</v>
      </c>
      <c r="AN35" s="228">
        <f t="shared" si="70"/>
        <v>5.0896283522204442</v>
      </c>
      <c r="AO35" s="228">
        <f t="shared" si="71"/>
        <v>4.6266951605889064</v>
      </c>
      <c r="AP35" s="228">
        <f t="shared" si="72"/>
        <v>4.9388786592497178</v>
      </c>
      <c r="AQ35" s="228">
        <f t="shared" si="73"/>
        <v>0.95069850297961234</v>
      </c>
      <c r="AR35" s="228">
        <f t="shared" si="74"/>
        <v>19.249278400454493</v>
      </c>
      <c r="AT35" s="229">
        <f t="shared" si="75"/>
        <v>1.4009931997136722</v>
      </c>
      <c r="AU35" s="229">
        <f t="shared" si="76"/>
        <v>1.47</v>
      </c>
      <c r="AV35" s="229">
        <f t="shared" si="77"/>
        <v>1.3783242618031903</v>
      </c>
      <c r="AW35" s="229">
        <f t="shared" si="78"/>
        <v>1.4009931997136722</v>
      </c>
      <c r="AX35" s="229">
        <f t="shared" si="79"/>
        <v>0.58862379128125719</v>
      </c>
      <c r="AY35" s="229">
        <f t="shared" si="80"/>
        <v>1.3</v>
      </c>
      <c r="AZ35" s="229">
        <f t="shared" si="81"/>
        <v>1.2999999816041432</v>
      </c>
      <c r="BA35" s="229">
        <f t="shared" si="82"/>
        <v>1.2685728290190694</v>
      </c>
      <c r="BB35" s="229">
        <f t="shared" si="83"/>
        <v>1.2634384078918754</v>
      </c>
      <c r="BC35" s="229">
        <f t="shared" si="84"/>
        <v>0.28076012131123546</v>
      </c>
      <c r="BD35" s="229">
        <f t="shared" si="85"/>
        <v>22.221908053254527</v>
      </c>
      <c r="BF35" s="230">
        <f t="shared" si="86"/>
        <v>11.73</v>
      </c>
      <c r="BG35" s="230">
        <f t="shared" si="87"/>
        <v>6.27</v>
      </c>
      <c r="BH35" s="230">
        <f t="shared" si="88"/>
        <v>6.6146461319476071</v>
      </c>
      <c r="BI35" s="230">
        <f t="shared" si="2"/>
        <v>8.2048820439825363</v>
      </c>
      <c r="BJ35" s="230">
        <f t="shared" si="3"/>
        <v>3.0577013738990519</v>
      </c>
      <c r="BK35" s="230">
        <f t="shared" si="89"/>
        <v>37.26685353315434</v>
      </c>
      <c r="BM35" s="227">
        <f t="shared" si="90"/>
        <v>31.73</v>
      </c>
      <c r="BN35" s="227">
        <f t="shared" si="91"/>
        <v>24.789372357391478</v>
      </c>
      <c r="BO35" s="227">
        <f t="shared" si="92"/>
        <v>22.68287292701298</v>
      </c>
      <c r="BP35" s="227">
        <f t="shared" si="93"/>
        <v>24.789372357391478</v>
      </c>
      <c r="BQ35" s="227">
        <f t="shared" si="94"/>
        <v>15.17</v>
      </c>
      <c r="BR35" s="227">
        <f t="shared" si="95"/>
        <v>22.716951587096904</v>
      </c>
      <c r="BS35" s="227">
        <f t="shared" si="96"/>
        <v>19.95</v>
      </c>
      <c r="BT35" s="227">
        <f t="shared" si="4"/>
        <v>23.118367032698977</v>
      </c>
      <c r="BU35" s="227">
        <f t="shared" si="5"/>
        <v>5.0548758238993505</v>
      </c>
      <c r="BV35" s="227">
        <f t="shared" si="97"/>
        <v>21.865194097617948</v>
      </c>
      <c r="BX35" s="231">
        <f t="shared" si="98"/>
        <v>0.3416195653922921</v>
      </c>
      <c r="BY35" s="231">
        <f t="shared" si="99"/>
        <v>0.30855828398187823</v>
      </c>
      <c r="BZ35" s="231">
        <f t="shared" si="100"/>
        <v>0.31816341452869173</v>
      </c>
      <c r="CA35" s="231">
        <f t="shared" si="101"/>
        <v>0.24</v>
      </c>
      <c r="CB35" s="231">
        <f t="shared" si="102"/>
        <v>0.36039544103434146</v>
      </c>
      <c r="CC35" s="231">
        <f t="shared" si="103"/>
        <v>0.32411176056814728</v>
      </c>
      <c r="CD35" s="231">
        <f t="shared" si="104"/>
        <v>0.48</v>
      </c>
      <c r="CE35" s="231">
        <f t="shared" si="105"/>
        <v>0.47689844061215769</v>
      </c>
      <c r="CF35" s="231">
        <f t="shared" si="106"/>
        <v>0.35621836326468859</v>
      </c>
      <c r="CG35" s="231">
        <f t="shared" si="107"/>
        <v>8.3129289763988395E-2</v>
      </c>
      <c r="CH35" s="231">
        <f t="shared" si="6"/>
        <v>23.336609882242104</v>
      </c>
      <c r="CJ35" s="232">
        <f t="shared" si="108"/>
        <v>1.5160290184436818</v>
      </c>
      <c r="CK35" s="232">
        <f t="shared" si="109"/>
        <v>1.5160290184436818</v>
      </c>
      <c r="CL35" s="232">
        <f t="shared" si="110"/>
        <v>2.1</v>
      </c>
      <c r="CM35" s="232">
        <f t="shared" si="111"/>
        <v>1.8506533307613442</v>
      </c>
      <c r="CN35" s="232">
        <f t="shared" si="112"/>
        <v>1.8930240984800499</v>
      </c>
      <c r="CO35" s="232">
        <f t="shared" si="113"/>
        <v>1.5036743086439734</v>
      </c>
      <c r="CP35" s="232">
        <f t="shared" si="114"/>
        <v>1.5169839511015326</v>
      </c>
      <c r="CQ35" s="232">
        <f t="shared" si="115"/>
        <v>1.8386927694166437</v>
      </c>
      <c r="CR35" s="232">
        <f t="shared" si="116"/>
        <v>3.9229289299422185</v>
      </c>
      <c r="CS35" s="232">
        <f t="shared" si="117"/>
        <v>1.41</v>
      </c>
      <c r="CT35" s="232">
        <f t="shared" si="118"/>
        <v>1.437426193732469</v>
      </c>
      <c r="CU35" s="232">
        <f t="shared" si="119"/>
        <v>1.8641310562695999</v>
      </c>
      <c r="CV35" s="232">
        <f t="shared" si="120"/>
        <v>0.71951710887652653</v>
      </c>
      <c r="CW35" s="232">
        <f t="shared" si="7"/>
        <v>38.597989473786569</v>
      </c>
      <c r="CY35" s="229">
        <f t="shared" si="8"/>
        <v>1.19</v>
      </c>
      <c r="CZ35" s="229">
        <f t="shared" si="9"/>
        <v>0.70946563838135213</v>
      </c>
      <c r="DA35" s="229">
        <f t="shared" si="10"/>
        <v>0.54456156070630224</v>
      </c>
      <c r="DB35" s="229">
        <f t="shared" si="11"/>
        <v>1.177447163333722</v>
      </c>
      <c r="DC35" s="229">
        <f t="shared" si="12"/>
        <v>0.57999999999999996</v>
      </c>
      <c r="DD35" s="229">
        <f t="shared" si="13"/>
        <v>0.54811382254681706</v>
      </c>
      <c r="DE35" s="229">
        <f t="shared" si="14"/>
        <v>0.8</v>
      </c>
      <c r="DF35" s="229">
        <f t="shared" si="15"/>
        <v>0.7927983121383132</v>
      </c>
      <c r="DG35" s="229">
        <f t="shared" si="16"/>
        <v>0.2826939523721565</v>
      </c>
      <c r="DH35" s="229">
        <f t="shared" si="17"/>
        <v>35.657738928540653</v>
      </c>
      <c r="DJ35" s="234">
        <f t="shared" si="121"/>
        <v>0.11588692248132702</v>
      </c>
      <c r="DK35" s="234">
        <f t="shared" si="122"/>
        <v>0.15660394929909058</v>
      </c>
      <c r="DL35" s="234">
        <f t="shared" si="123"/>
        <v>0.11881573907404284</v>
      </c>
      <c r="DM35" s="234">
        <f t="shared" si="18"/>
        <v>0.13043553695148682</v>
      </c>
      <c r="DN35" s="234">
        <f t="shared" si="19"/>
        <v>2.2709774222878287E-2</v>
      </c>
      <c r="DO35" s="234">
        <f t="shared" si="20"/>
        <v>17.410726212845496</v>
      </c>
      <c r="DQ35" s="229">
        <f t="shared" si="124"/>
        <v>3.49</v>
      </c>
      <c r="DR35" s="229">
        <f t="shared" si="125"/>
        <v>3.8623844736699815</v>
      </c>
      <c r="DS35" s="229">
        <f t="shared" si="126"/>
        <v>3.0249794380963761</v>
      </c>
      <c r="DT35" s="229">
        <f t="shared" si="127"/>
        <v>2.6214922526522693</v>
      </c>
      <c r="DU35" s="229">
        <f t="shared" si="128"/>
        <v>3.8623844736699815</v>
      </c>
      <c r="DV35" s="229">
        <f t="shared" si="129"/>
        <v>1.97</v>
      </c>
      <c r="DW35" s="229">
        <f t="shared" si="130"/>
        <v>1.1873</v>
      </c>
      <c r="DX35" s="229">
        <f t="shared" si="131"/>
        <v>3.5521746320844607</v>
      </c>
      <c r="DY35" s="229">
        <f t="shared" si="21"/>
        <v>2.9463394087716339</v>
      </c>
      <c r="DZ35" s="229">
        <f t="shared" si="22"/>
        <v>0.96362770596278835</v>
      </c>
      <c r="EA35" s="229">
        <f t="shared" si="23"/>
        <v>32.705930046414338</v>
      </c>
      <c r="EC35" s="235">
        <f t="shared" si="132"/>
        <v>0.21015138117310089</v>
      </c>
      <c r="ED35" s="235">
        <f t="shared" si="133"/>
        <v>0.15</v>
      </c>
      <c r="EE35" s="235">
        <f t="shared" si="134"/>
        <v>0.17226434422899964</v>
      </c>
      <c r="EF35" s="235">
        <f t="shared" si="135"/>
        <v>0.14913419141977505</v>
      </c>
      <c r="EG35" s="235">
        <f t="shared" si="136"/>
        <v>0.17038747920546887</v>
      </c>
      <c r="EH35" s="235">
        <f t="shared" si="137"/>
        <v>2.8589287457968099E-2</v>
      </c>
      <c r="EI35" s="235">
        <f t="shared" si="24"/>
        <v>16.778983755897055</v>
      </c>
      <c r="EK35" s="236">
        <f t="shared" si="138"/>
        <v>20.705381659388649</v>
      </c>
      <c r="EL35" s="236">
        <f t="shared" si="139"/>
        <v>27.999265982654787</v>
      </c>
      <c r="EM35" s="236">
        <f t="shared" si="140"/>
        <v>28.599863107921134</v>
      </c>
      <c r="EN35" s="236">
        <f t="shared" si="141"/>
        <v>14.4</v>
      </c>
      <c r="EO35" s="236">
        <f t="shared" si="142"/>
        <v>27.902440551043441</v>
      </c>
      <c r="EP35" s="236">
        <f t="shared" si="143"/>
        <v>28.599863107921134</v>
      </c>
      <c r="EQ35" s="236">
        <f t="shared" si="144"/>
        <v>31.679429792539441</v>
      </c>
      <c r="ER35" s="236">
        <f t="shared" si="145"/>
        <v>25.698034885924084</v>
      </c>
      <c r="ES35" s="236">
        <f t="shared" si="146"/>
        <v>5.9909034726241979</v>
      </c>
      <c r="ET35" s="236">
        <f t="shared" si="25"/>
        <v>23.312691025669331</v>
      </c>
      <c r="EV35" s="238">
        <f t="shared" si="147"/>
        <v>1.5660394929909057E-2</v>
      </c>
      <c r="EW35" s="238">
        <f t="shared" si="148"/>
        <v>1.5660394929909057E-2</v>
      </c>
      <c r="EX35" s="238" t="e">
        <f t="shared" si="149"/>
        <v>#DIV/0!</v>
      </c>
      <c r="EY35" s="238" t="e">
        <f t="shared" si="26"/>
        <v>#DIV/0!</v>
      </c>
      <c r="FA35" s="240">
        <f t="shared" si="150"/>
        <v>0.48547224282718077</v>
      </c>
      <c r="FB35" s="240">
        <f t="shared" si="151"/>
        <v>0.65225544883068798</v>
      </c>
      <c r="FC35" s="240">
        <f t="shared" si="152"/>
        <v>0.56886384582893434</v>
      </c>
      <c r="FD35" s="240">
        <f t="shared" si="153"/>
        <v>0.11793353595311341</v>
      </c>
      <c r="FE35" s="240">
        <f t="shared" si="27"/>
        <v>20.731416984544619</v>
      </c>
      <c r="FG35" s="236">
        <f t="shared" si="154"/>
        <v>1.2</v>
      </c>
      <c r="FH35" s="236">
        <f t="shared" si="155"/>
        <v>1.3978394340983631</v>
      </c>
      <c r="FI35" s="236">
        <f t="shared" si="156"/>
        <v>1.2919825817174972</v>
      </c>
      <c r="FJ35" s="236">
        <f t="shared" si="157"/>
        <v>0.92</v>
      </c>
      <c r="FK35" s="236">
        <f t="shared" si="158"/>
        <v>1.2528315943927246</v>
      </c>
      <c r="FL35" s="236">
        <f t="shared" si="159"/>
        <v>0.9</v>
      </c>
      <c r="FM35" s="236">
        <f t="shared" si="160"/>
        <v>1.1604422683680975</v>
      </c>
      <c r="FN35" s="236">
        <f t="shared" si="161"/>
        <v>0.20464776060278947</v>
      </c>
      <c r="FO35" s="236">
        <f t="shared" si="28"/>
        <v>17.635324581082415</v>
      </c>
      <c r="FQ35" s="227">
        <f t="shared" si="162"/>
        <v>0.32</v>
      </c>
      <c r="FR35" s="227">
        <f t="shared" si="163"/>
        <v>0.35450481570024212</v>
      </c>
      <c r="FS35" s="227">
        <f t="shared" si="164"/>
        <v>0.35450481570024212</v>
      </c>
      <c r="FT35" s="227">
        <f t="shared" si="165"/>
        <v>0.24</v>
      </c>
      <c r="FU35" s="227">
        <f t="shared" si="166"/>
        <v>0.32628432836465521</v>
      </c>
      <c r="FV35" s="227">
        <f t="shared" si="29"/>
        <v>0.31905879195302789</v>
      </c>
      <c r="FW35" s="227">
        <f t="shared" si="30"/>
        <v>4.6947385531762295E-2</v>
      </c>
      <c r="FX35" s="227">
        <f t="shared" si="31"/>
        <v>14.714336892077851</v>
      </c>
      <c r="FZ35" s="230">
        <f t="shared" si="167"/>
        <v>1.6443414676404511</v>
      </c>
      <c r="GA35" s="230">
        <f t="shared" si="168"/>
        <v>2.4700000000000002</v>
      </c>
      <c r="GB35" s="230">
        <f t="shared" si="169"/>
        <v>3.4875358289992255</v>
      </c>
      <c r="GC35" s="230">
        <f t="shared" si="170"/>
        <v>2.5339590988798921</v>
      </c>
      <c r="GD35" s="230">
        <f t="shared" si="171"/>
        <v>0.9232602223551829</v>
      </c>
      <c r="GE35" s="230">
        <f t="shared" si="32"/>
        <v>36.435482433923248</v>
      </c>
      <c r="GG35" s="231">
        <f t="shared" si="172"/>
        <v>0.1096227645093634</v>
      </c>
      <c r="GH35" s="231">
        <f t="shared" si="173"/>
        <v>0.05</v>
      </c>
      <c r="GI35" s="231">
        <f t="shared" si="174"/>
        <v>0.05</v>
      </c>
      <c r="GJ35" s="231">
        <f t="shared" si="175"/>
        <v>0.12152466465609428</v>
      </c>
      <c r="GK35" s="245">
        <f t="shared" si="186"/>
        <v>7.3841554885364757E-2</v>
      </c>
      <c r="GL35" s="231">
        <f t="shared" si="187"/>
        <v>4.1294784392893767E-2</v>
      </c>
      <c r="GM35" s="231">
        <f t="shared" si="33"/>
        <v>55.923503313279099</v>
      </c>
      <c r="GO35" s="246">
        <f t="shared" si="176"/>
        <v>0.18</v>
      </c>
      <c r="GP35" s="246">
        <f t="shared" si="177"/>
        <v>0.18009454169395417</v>
      </c>
      <c r="GQ35" s="247">
        <f t="shared" si="188"/>
        <v>0.18004727084697708</v>
      </c>
      <c r="GR35" s="246">
        <f t="shared" si="189"/>
        <v>6.6851072899860669E-5</v>
      </c>
      <c r="GS35" s="246">
        <f t="shared" si="34"/>
        <v>3.7129734088931381E-2</v>
      </c>
      <c r="GU35" s="249">
        <f t="shared" si="178"/>
        <v>2.2182949418216181E-2</v>
      </c>
      <c r="GV35" s="249">
        <f t="shared" si="179"/>
        <v>2.2182949418216181E-2</v>
      </c>
      <c r="GW35" s="249" t="e">
        <f t="shared" si="180"/>
        <v>#DIV/0!</v>
      </c>
      <c r="GX35" s="249" t="e">
        <f t="shared" si="35"/>
        <v>#DIV/0!</v>
      </c>
      <c r="GZ35" s="240">
        <f t="shared" si="181"/>
        <v>2.3490592394863587E-2</v>
      </c>
      <c r="HA35" s="240">
        <f t="shared" si="182"/>
        <v>2.3490592394863587E-2</v>
      </c>
      <c r="HB35" s="240" t="e">
        <f t="shared" si="183"/>
        <v>#DIV/0!</v>
      </c>
      <c r="HC35" s="240" t="e">
        <f t="shared" si="36"/>
        <v>#DIV/0!</v>
      </c>
      <c r="HE35" s="234">
        <f t="shared" si="184"/>
        <v>9.2749149832958871E-2</v>
      </c>
      <c r="HF35" s="234">
        <f t="shared" si="185"/>
        <v>9.2749149832958871E-2</v>
      </c>
      <c r="HG35" s="251">
        <f t="shared" si="190"/>
        <v>9.2749149832958871E-2</v>
      </c>
      <c r="HH35" s="234">
        <f t="shared" si="191"/>
        <v>0</v>
      </c>
      <c r="HI35" s="234">
        <f t="shared" si="37"/>
        <v>0</v>
      </c>
    </row>
    <row r="36" spans="2:217" ht="15.6" x14ac:dyDescent="0.25">
      <c r="B36">
        <v>32</v>
      </c>
      <c r="C36" s="124">
        <f t="shared" si="38"/>
        <v>78.346266281146001</v>
      </c>
      <c r="D36" s="124">
        <f t="shared" si="39"/>
        <v>179.57559499719355</v>
      </c>
      <c r="E36" s="29">
        <f t="shared" si="40"/>
        <v>2.1831922650752822</v>
      </c>
      <c r="F36" s="29">
        <f t="shared" si="41"/>
        <v>1.9850875040232927</v>
      </c>
      <c r="G36" s="29">
        <f t="shared" si="42"/>
        <v>1.975392523398676</v>
      </c>
      <c r="H36" s="29">
        <f t="shared" si="43"/>
        <v>1.9842427859364744</v>
      </c>
      <c r="I36" s="29">
        <f t="shared" si="44"/>
        <v>2.0094124234126824</v>
      </c>
      <c r="J36" s="29">
        <f t="shared" si="45"/>
        <v>1.9842427859364744</v>
      </c>
      <c r="K36" s="29">
        <f t="shared" si="46"/>
        <v>1.9768856949508962</v>
      </c>
      <c r="L36" s="125">
        <f t="shared" si="0"/>
        <v>2.0140651403905396</v>
      </c>
      <c r="M36" s="126">
        <f t="shared" si="1"/>
        <v>7.5412160389205465E-2</v>
      </c>
      <c r="N36" s="126">
        <f t="shared" si="47"/>
        <v>3.7442761347124347</v>
      </c>
      <c r="P36" s="138">
        <f t="shared" si="48"/>
        <v>422.95367948201334</v>
      </c>
      <c r="Q36" s="138">
        <f t="shared" si="49"/>
        <v>325.79239999999999</v>
      </c>
      <c r="R36" s="138">
        <f t="shared" si="50"/>
        <v>422.95367948201334</v>
      </c>
      <c r="S36" s="138">
        <f t="shared" si="51"/>
        <v>417.30074402002839</v>
      </c>
      <c r="T36" s="138">
        <f t="shared" si="52"/>
        <v>454.62580948014528</v>
      </c>
      <c r="U36" s="138">
        <f t="shared" si="53"/>
        <v>422.95367948201334</v>
      </c>
      <c r="V36" s="138">
        <f t="shared" si="54"/>
        <v>321.11712</v>
      </c>
      <c r="W36" s="138">
        <f t="shared" si="55"/>
        <v>398.24244456374481</v>
      </c>
      <c r="X36" s="138">
        <f t="shared" si="56"/>
        <v>52.554039897630553</v>
      </c>
      <c r="Y36" s="138">
        <f t="shared" si="57"/>
        <v>13.196493898384171</v>
      </c>
      <c r="AA36" s="227">
        <f t="shared" si="58"/>
        <v>0.44871601119999999</v>
      </c>
      <c r="AB36" s="227">
        <f t="shared" si="59"/>
        <v>0.40322139303482585</v>
      </c>
      <c r="AC36" s="227">
        <f t="shared" si="60"/>
        <v>0.47</v>
      </c>
      <c r="AD36" s="227">
        <f t="shared" si="61"/>
        <v>0.44871601119999999</v>
      </c>
      <c r="AE36" s="227">
        <f t="shared" si="62"/>
        <v>0.44266335385870642</v>
      </c>
      <c r="AF36" s="227">
        <f t="shared" si="63"/>
        <v>2.8143855561910607E-2</v>
      </c>
      <c r="AG36" s="227">
        <f t="shared" si="64"/>
        <v>6.3578462767653985</v>
      </c>
      <c r="AI36" s="228">
        <f t="shared" si="65"/>
        <v>4.5110913123887082</v>
      </c>
      <c r="AJ36" s="228">
        <f t="shared" si="66"/>
        <v>4.5110913123887082</v>
      </c>
      <c r="AK36" s="228">
        <f t="shared" si="67"/>
        <v>4.5110913123887082</v>
      </c>
      <c r="AL36" s="228">
        <f t="shared" si="68"/>
        <v>7.0255120518234264</v>
      </c>
      <c r="AM36" s="228">
        <f t="shared" si="69"/>
        <v>4.28</v>
      </c>
      <c r="AN36" s="228">
        <f t="shared" si="70"/>
        <v>5.0925073082744898</v>
      </c>
      <c r="AO36" s="228">
        <f t="shared" si="71"/>
        <v>4.6202012013573919</v>
      </c>
      <c r="AP36" s="228">
        <f t="shared" si="72"/>
        <v>4.9359277855173476</v>
      </c>
      <c r="AQ36" s="228">
        <f t="shared" si="73"/>
        <v>0.95413679796635409</v>
      </c>
      <c r="AR36" s="228">
        <f t="shared" si="74"/>
        <v>19.330444840905397</v>
      </c>
      <c r="AT36" s="229">
        <f t="shared" si="75"/>
        <v>1.4023173060232597</v>
      </c>
      <c r="AU36" s="229">
        <f t="shared" si="76"/>
        <v>1.47</v>
      </c>
      <c r="AV36" s="229">
        <f t="shared" si="77"/>
        <v>1.3741651978744027</v>
      </c>
      <c r="AW36" s="229">
        <f t="shared" si="78"/>
        <v>1.4023173060232597</v>
      </c>
      <c r="AX36" s="229">
        <f t="shared" si="79"/>
        <v>0.60735357806500556</v>
      </c>
      <c r="AY36" s="229">
        <f t="shared" si="80"/>
        <v>1.3</v>
      </c>
      <c r="AZ36" s="229">
        <f t="shared" si="81"/>
        <v>1.2999999896278382</v>
      </c>
      <c r="BA36" s="229">
        <f t="shared" si="82"/>
        <v>1.26655762240742</v>
      </c>
      <c r="BB36" s="229">
        <f t="shared" si="83"/>
        <v>1.2653388750026482</v>
      </c>
      <c r="BC36" s="229">
        <f t="shared" si="84"/>
        <v>0.27427943221393813</v>
      </c>
      <c r="BD36" s="229">
        <f t="shared" si="85"/>
        <v>21.676361774102933</v>
      </c>
      <c r="BF36" s="230">
        <f t="shared" si="86"/>
        <v>11.73</v>
      </c>
      <c r="BG36" s="230">
        <f t="shared" si="87"/>
        <v>6.27</v>
      </c>
      <c r="BH36" s="230">
        <f t="shared" si="88"/>
        <v>6.6146461457901298</v>
      </c>
      <c r="BI36" s="230">
        <f t="shared" ref="BI36:BI67" si="192">AVERAGE(BF36:BH36)</f>
        <v>8.2048820485967102</v>
      </c>
      <c r="BJ36" s="230">
        <f t="shared" ref="BJ36:BJ67" si="193">STDEV(BF36:BH36)</f>
        <v>3.0577013702994762</v>
      </c>
      <c r="BK36" s="230">
        <f t="shared" si="89"/>
        <v>37.266853468325465</v>
      </c>
      <c r="BM36" s="227">
        <f t="shared" si="90"/>
        <v>31.73</v>
      </c>
      <c r="BN36" s="227">
        <f t="shared" si="91"/>
        <v>24.743466117288094</v>
      </c>
      <c r="BO36" s="227">
        <f t="shared" si="92"/>
        <v>22.687183715651525</v>
      </c>
      <c r="BP36" s="227">
        <f t="shared" si="93"/>
        <v>24.743466117288094</v>
      </c>
      <c r="BQ36" s="227">
        <f t="shared" si="94"/>
        <v>15.17</v>
      </c>
      <c r="BR36" s="227">
        <f t="shared" si="95"/>
        <v>22.687981110873505</v>
      </c>
      <c r="BS36" s="227">
        <f t="shared" si="96"/>
        <v>19.95</v>
      </c>
      <c r="BT36" s="227">
        <f t="shared" ref="BT36:BT67" si="194">AVERAGE(BM36:BS36)</f>
        <v>23.101728151585888</v>
      </c>
      <c r="BU36" s="227">
        <f t="shared" ref="BU36:BU67" si="195">STDEV(BM36:BS36)</f>
        <v>5.0501884073998218</v>
      </c>
      <c r="BV36" s="227">
        <f t="shared" si="97"/>
        <v>21.860652044133488</v>
      </c>
      <c r="BX36" s="231">
        <f t="shared" si="98"/>
        <v>0.34066388753579679</v>
      </c>
      <c r="BY36" s="231">
        <f t="shared" si="99"/>
        <v>0.30831811404624415</v>
      </c>
      <c r="BZ36" s="231">
        <f t="shared" si="100"/>
        <v>0.31829224852183391</v>
      </c>
      <c r="CA36" s="231">
        <f t="shared" si="101"/>
        <v>0.24</v>
      </c>
      <c r="CB36" s="231">
        <f t="shared" si="102"/>
        <v>0.36055835884211901</v>
      </c>
      <c r="CC36" s="231">
        <f t="shared" si="103"/>
        <v>0.32318878352717317</v>
      </c>
      <c r="CD36" s="231">
        <f t="shared" si="104"/>
        <v>0.48</v>
      </c>
      <c r="CE36" s="231">
        <f t="shared" si="105"/>
        <v>0.47472964658131256</v>
      </c>
      <c r="CF36" s="231">
        <f t="shared" si="106"/>
        <v>0.35571887988180995</v>
      </c>
      <c r="CG36" s="231">
        <f t="shared" si="107"/>
        <v>8.2769977671407924E-2</v>
      </c>
      <c r="CH36" s="231">
        <f t="shared" ref="CH36:CH67" si="196">(CG36/CF36)*100</f>
        <v>23.268367903021854</v>
      </c>
      <c r="CJ36" s="232">
        <f t="shared" si="108"/>
        <v>1.5137158742457595</v>
      </c>
      <c r="CK36" s="232">
        <f t="shared" si="109"/>
        <v>1.5137158742457595</v>
      </c>
      <c r="CL36" s="232">
        <f t="shared" si="110"/>
        <v>2.1</v>
      </c>
      <c r="CM36" s="232">
        <f t="shared" si="111"/>
        <v>1.8486873502716636</v>
      </c>
      <c r="CN36" s="232">
        <f t="shared" si="112"/>
        <v>1.8911353920287861</v>
      </c>
      <c r="CO36" s="232">
        <f t="shared" si="113"/>
        <v>1.5043377007962868</v>
      </c>
      <c r="CP36" s="232">
        <f t="shared" si="114"/>
        <v>1.5146693498754731</v>
      </c>
      <c r="CQ36" s="232">
        <f t="shared" si="115"/>
        <v>1.8396892390331121</v>
      </c>
      <c r="CR36" s="232">
        <f t="shared" si="116"/>
        <v>3.9251479406854144</v>
      </c>
      <c r="CS36" s="232">
        <f t="shared" si="117"/>
        <v>1.41</v>
      </c>
      <c r="CT36" s="232">
        <f t="shared" si="118"/>
        <v>1.4340275884700238</v>
      </c>
      <c r="CU36" s="232">
        <f t="shared" si="119"/>
        <v>1.8631933008774799</v>
      </c>
      <c r="CV36" s="232">
        <f t="shared" si="120"/>
        <v>0.72064974707601304</v>
      </c>
      <c r="CW36" s="232">
        <f t="shared" ref="CW36:CW67" si="197">(CV36/CU36)*100</f>
        <v>38.678206213849073</v>
      </c>
      <c r="CY36" s="229">
        <f t="shared" ref="CY36:CY67" si="198">IF(B36&lt; 18, (9.74*10^(-2) * (B36*365.25*24) + 6.33*10^(-2) * (B36 * 365.25*24)^(9.98*10^-1) + 3.8*10^1) / 25000, 1.19)</f>
        <v>1.19</v>
      </c>
      <c r="CZ36" s="229">
        <f t="shared" ref="CZ36:CZ67" si="199">-1.454*10^(-2) + 7.269*10^(-4) * B36 + 9.329*10^(-6) * B36^2 + 6.43*10^(-3) * C36 + 3.083*10^-5 * C36^2</f>
        <v>0.7112789654690187</v>
      </c>
      <c r="DA36" s="229">
        <f t="shared" ref="DA36:DA67" si="200">EXP(-2.092 * ((D36/100)^(-2.1)))</f>
        <v>0.54234861922489586</v>
      </c>
      <c r="DB36" s="229">
        <f t="shared" ref="DB36:DB67" si="201">(1.86*10^(-2) - 4.55*10^(-8) * C36*1000) * C36</f>
        <v>1.1779552993003872</v>
      </c>
      <c r="DC36" s="229">
        <f t="shared" ref="DC36:DC67" si="202">IF(B36 &lt; 18, (6.3*10^(-3) * B36^5 - 0.3162 * B36^4 + 5.5896 * B36^3 - 42.196 * B36^2 + 160.79 * B36 + 50.506) / 1050, 0.58)</f>
        <v>0.57999999999999996</v>
      </c>
      <c r="DD36" s="229">
        <f t="shared" ref="DD36:DD67" si="203">0.007 * C36</f>
        <v>0.54842386396802201</v>
      </c>
      <c r="DE36" s="229">
        <f t="shared" ref="DE36:DE67" si="204">IF(B36 &lt; 18, ((31.46 * (D36/100) * SQRT(C36) + 1.43) + (35.3 * (D36/100) * SQRT(C36) + 1.53)) / 1050, 0.8)</f>
        <v>0.8</v>
      </c>
      <c r="DF36" s="229">
        <f t="shared" ref="DF36:DF67" si="205">AVERAGE(CY36:DE36)</f>
        <v>0.7928581068517605</v>
      </c>
      <c r="DG36" s="229">
        <f t="shared" ref="DG36:DG67" si="206">STDEV(CY36:DE36)</f>
        <v>0.28300158127043645</v>
      </c>
      <c r="DH36" s="229">
        <f t="shared" ref="DH36:DH67" si="207">(DG36/DF36)*100</f>
        <v>35.693849734874291</v>
      </c>
      <c r="DJ36" s="234">
        <f t="shared" si="121"/>
        <v>0.11595247409609608</v>
      </c>
      <c r="DK36" s="234">
        <f t="shared" si="122"/>
        <v>0.15669253256229201</v>
      </c>
      <c r="DL36" s="234">
        <f t="shared" si="123"/>
        <v>0.11846624056536144</v>
      </c>
      <c r="DM36" s="234">
        <f t="shared" ref="DM36:DM67" si="208">AVERAGE(DJ36:DL36)</f>
        <v>0.13037041574124983</v>
      </c>
      <c r="DN36" s="234">
        <f t="shared" ref="DN36:DN67" si="209">STDEV(DJ36:DL36)</f>
        <v>2.283024596715813E-2</v>
      </c>
      <c r="DO36" s="234">
        <f t="shared" ref="DO36:DO67" si="210">(DN36/DM36)*100</f>
        <v>17.511830300879012</v>
      </c>
      <c r="DQ36" s="229">
        <f t="shared" si="124"/>
        <v>3.49</v>
      </c>
      <c r="DR36" s="229">
        <f t="shared" si="125"/>
        <v>3.8574178723815704</v>
      </c>
      <c r="DS36" s="229">
        <f t="shared" si="126"/>
        <v>3.021097710585809</v>
      </c>
      <c r="DT36" s="229">
        <f t="shared" si="127"/>
        <v>2.6226495145061519</v>
      </c>
      <c r="DU36" s="229">
        <f t="shared" si="128"/>
        <v>3.8574178723815704</v>
      </c>
      <c r="DV36" s="229">
        <f t="shared" si="129"/>
        <v>1.97</v>
      </c>
      <c r="DW36" s="229">
        <f t="shared" si="130"/>
        <v>1.2256</v>
      </c>
      <c r="DX36" s="229">
        <f t="shared" si="131"/>
        <v>3.5371310697056715</v>
      </c>
      <c r="DY36" s="229">
        <f t="shared" ref="DY36:DY67" si="211">AVERAGE(DQ36:DX36)</f>
        <v>2.9476642549450967</v>
      </c>
      <c r="DZ36" s="229">
        <f t="shared" ref="DZ36:DZ67" si="212">STDEV(DQ36:DX36)</f>
        <v>0.95088396636367767</v>
      </c>
      <c r="EA36" s="229">
        <f t="shared" ref="EA36:EA67" si="213">(DZ36/DY36)*100</f>
        <v>32.258896676188407</v>
      </c>
      <c r="EC36" s="235">
        <f t="shared" si="132"/>
        <v>0.21025092525528252</v>
      </c>
      <c r="ED36" s="235">
        <f t="shared" si="133"/>
        <v>0.15</v>
      </c>
      <c r="EE36" s="235">
        <f t="shared" si="134"/>
        <v>0.17236178581852121</v>
      </c>
      <c r="EF36" s="235">
        <f t="shared" si="135"/>
        <v>0.14872467466624414</v>
      </c>
      <c r="EG36" s="235">
        <f t="shared" si="136"/>
        <v>0.17033434643501197</v>
      </c>
      <c r="EH36" s="235">
        <f t="shared" si="137"/>
        <v>2.873967834464897E-2</v>
      </c>
      <c r="EI36" s="235">
        <f t="shared" ref="EI36:EI67" si="214">(EH36/EG36)*100</f>
        <v>16.872509242059458</v>
      </c>
      <c r="EK36" s="236">
        <f t="shared" si="138"/>
        <v>20.705381659388649</v>
      </c>
      <c r="EL36" s="236">
        <f t="shared" si="139"/>
        <v>28.189484980728267</v>
      </c>
      <c r="EM36" s="236">
        <f t="shared" si="140"/>
        <v>28.794162390937963</v>
      </c>
      <c r="EN36" s="236">
        <f t="shared" si="141"/>
        <v>14.4</v>
      </c>
      <c r="EO36" s="236">
        <f t="shared" si="142"/>
        <v>28.014202248432429</v>
      </c>
      <c r="EP36" s="236">
        <f t="shared" si="143"/>
        <v>28.794162390937963</v>
      </c>
      <c r="EQ36" s="236">
        <f t="shared" si="144"/>
        <v>31.716589673322638</v>
      </c>
      <c r="ER36" s="236">
        <f t="shared" si="145"/>
        <v>25.801997620535413</v>
      </c>
      <c r="ES36" s="236">
        <f t="shared" si="146"/>
        <v>6.0479127030495938</v>
      </c>
      <c r="ET36" s="236">
        <f t="shared" ref="ET36:ET67" si="215">(ES36/ER36)*100</f>
        <v>23.439707235055913</v>
      </c>
      <c r="EV36" s="238">
        <f t="shared" si="147"/>
        <v>1.5669253256229202E-2</v>
      </c>
      <c r="EW36" s="238">
        <f t="shared" si="148"/>
        <v>1.5669253256229202E-2</v>
      </c>
      <c r="EX36" s="238" t="e">
        <f t="shared" si="149"/>
        <v>#DIV/0!</v>
      </c>
      <c r="EY36" s="238" t="e">
        <f t="shared" ref="EY36:EY67" si="216">(EX36/EW36)*100</f>
        <v>#DIV/0!</v>
      </c>
      <c r="FA36" s="240">
        <f t="shared" si="150"/>
        <v>0.48574685094310521</v>
      </c>
      <c r="FB36" s="240">
        <f t="shared" si="151"/>
        <v>0.65262439812194262</v>
      </c>
      <c r="FC36" s="240">
        <f t="shared" si="152"/>
        <v>0.56918562453252397</v>
      </c>
      <c r="FD36" s="240">
        <f t="shared" si="153"/>
        <v>0.11800024523793341</v>
      </c>
      <c r="FE36" s="240">
        <f t="shared" ref="FE36:FE67" si="217">(FD36/FC36)*100</f>
        <v>20.731416984546616</v>
      </c>
      <c r="FG36" s="236">
        <f t="shared" si="154"/>
        <v>1.2</v>
      </c>
      <c r="FH36" s="236">
        <f t="shared" si="155"/>
        <v>1.3957604820113256</v>
      </c>
      <c r="FI36" s="236">
        <f t="shared" si="156"/>
        <v>1.292713393638909</v>
      </c>
      <c r="FJ36" s="236">
        <f t="shared" si="157"/>
        <v>0.92</v>
      </c>
      <c r="FK36" s="236">
        <f t="shared" si="158"/>
        <v>1.2535402604983361</v>
      </c>
      <c r="FL36" s="236">
        <f t="shared" si="159"/>
        <v>0.9</v>
      </c>
      <c r="FM36" s="236">
        <f t="shared" si="160"/>
        <v>1.1603356893580952</v>
      </c>
      <c r="FN36" s="236">
        <f t="shared" si="161"/>
        <v>0.204325697815715</v>
      </c>
      <c r="FO36" s="236">
        <f t="shared" ref="FO36:FO67" si="218">(FN36/FM36)*100</f>
        <v>17.609188417599153</v>
      </c>
      <c r="FQ36" s="227">
        <f t="shared" si="162"/>
        <v>0.32</v>
      </c>
      <c r="FR36" s="227">
        <f t="shared" si="163"/>
        <v>0.35350919855467344</v>
      </c>
      <c r="FS36" s="227">
        <f t="shared" si="164"/>
        <v>0.35350919855467344</v>
      </c>
      <c r="FT36" s="227">
        <f t="shared" si="165"/>
        <v>0.24</v>
      </c>
      <c r="FU36" s="227">
        <f t="shared" si="166"/>
        <v>0.32646889159353537</v>
      </c>
      <c r="FV36" s="227">
        <f t="shared" ref="FV36:FV67" si="219">AVERAGE(FQ36:FU36)</f>
        <v>0.31869745774057645</v>
      </c>
      <c r="FW36" s="227">
        <f t="shared" ref="FW36:FW67" si="220">STDEV(FQ36:FU36)</f>
        <v>4.658083364516432E-2</v>
      </c>
      <c r="FX36" s="227">
        <f t="shared" ref="FX36:FX67" si="221">(FW36/FV36)*100</f>
        <v>14.616004148700073</v>
      </c>
      <c r="FZ36" s="230">
        <f t="shared" si="167"/>
        <v>1.6452715919040661</v>
      </c>
      <c r="GA36" s="230">
        <f t="shared" si="168"/>
        <v>2.4700000000000002</v>
      </c>
      <c r="GB36" s="230">
        <f t="shared" si="169"/>
        <v>3.4940955605621369</v>
      </c>
      <c r="GC36" s="230">
        <f t="shared" si="170"/>
        <v>2.5364557174887343</v>
      </c>
      <c r="GD36" s="230">
        <f t="shared" si="171"/>
        <v>0.9262018076862899</v>
      </c>
      <c r="GE36" s="230">
        <f t="shared" ref="GE36:GE67" si="222">(GD36/GC36)*100</f>
        <v>36.515591472785239</v>
      </c>
      <c r="GG36" s="231">
        <f t="shared" si="172"/>
        <v>0.1096847727936044</v>
      </c>
      <c r="GH36" s="231">
        <f t="shared" si="173"/>
        <v>0.05</v>
      </c>
      <c r="GI36" s="231">
        <f t="shared" si="174"/>
        <v>0.05</v>
      </c>
      <c r="GJ36" s="231">
        <f t="shared" si="175"/>
        <v>0.12159340526833859</v>
      </c>
      <c r="GK36" s="245">
        <f t="shared" si="186"/>
        <v>7.3864468422779536E-2</v>
      </c>
      <c r="GL36" s="231">
        <f t="shared" si="187"/>
        <v>4.133447180387724E-2</v>
      </c>
      <c r="GM36" s="231">
        <f t="shared" ref="GM36:GM67" si="223">(GL36/GK36)*100</f>
        <v>55.959885295986012</v>
      </c>
      <c r="GO36" s="246">
        <f t="shared" si="176"/>
        <v>0.18</v>
      </c>
      <c r="GP36" s="246">
        <f t="shared" si="177"/>
        <v>0.18019641244663581</v>
      </c>
      <c r="GQ36" s="247">
        <f t="shared" si="188"/>
        <v>0.1800982062233179</v>
      </c>
      <c r="GR36" s="246">
        <f t="shared" si="189"/>
        <v>1.3888457292562822E-4</v>
      </c>
      <c r="GS36" s="246">
        <f t="shared" ref="GS36:GS67" si="224">(GR36/GQ36)*100</f>
        <v>7.711602232918098E-2</v>
      </c>
      <c r="GU36" s="249">
        <f t="shared" si="178"/>
        <v>2.2195497237448663E-2</v>
      </c>
      <c r="GV36" s="249">
        <f t="shared" si="179"/>
        <v>2.2195497237448663E-2</v>
      </c>
      <c r="GW36" s="249" t="e">
        <f t="shared" si="180"/>
        <v>#DIV/0!</v>
      </c>
      <c r="GX36" s="249" t="e">
        <f t="shared" ref="GX36:GX67" si="225">(GW36/GV36)*100</f>
        <v>#DIV/0!</v>
      </c>
      <c r="GZ36" s="240">
        <f t="shared" si="181"/>
        <v>2.3503879884343801E-2</v>
      </c>
      <c r="HA36" s="240">
        <f t="shared" si="182"/>
        <v>2.3503879884343801E-2</v>
      </c>
      <c r="HB36" s="240" t="e">
        <f t="shared" si="183"/>
        <v>#DIV/0!</v>
      </c>
      <c r="HC36" s="240" t="e">
        <f t="shared" ref="HC36:HC67" si="226">(HB36/HA36)*100</f>
        <v>#DIV/0!</v>
      </c>
      <c r="HE36" s="234">
        <f t="shared" si="184"/>
        <v>9.2801856874563729E-2</v>
      </c>
      <c r="HF36" s="234">
        <f t="shared" si="185"/>
        <v>9.2801856874563729E-2</v>
      </c>
      <c r="HG36" s="251">
        <f t="shared" si="190"/>
        <v>9.2801856874563729E-2</v>
      </c>
      <c r="HH36" s="234">
        <f t="shared" si="191"/>
        <v>0</v>
      </c>
      <c r="HI36" s="234">
        <f t="shared" ref="HI36:HI67" si="227">(HH36/HG36)*100</f>
        <v>0</v>
      </c>
    </row>
    <row r="37" spans="2:217" ht="15.6" x14ac:dyDescent="0.25">
      <c r="B37">
        <v>33</v>
      </c>
      <c r="C37" s="124">
        <f t="shared" si="38"/>
        <v>78.419693460915155</v>
      </c>
      <c r="D37" s="124">
        <f t="shared" si="39"/>
        <v>178.97180623684235</v>
      </c>
      <c r="E37" s="29">
        <f t="shared" si="40"/>
        <v>2.1802297166110272</v>
      </c>
      <c r="F37" s="29">
        <f t="shared" si="41"/>
        <v>1.9832246861502731</v>
      </c>
      <c r="G37" s="29">
        <f t="shared" si="42"/>
        <v>1.9713596296059512</v>
      </c>
      <c r="H37" s="29">
        <f t="shared" si="43"/>
        <v>1.9823807607519113</v>
      </c>
      <c r="I37" s="29">
        <f t="shared" si="44"/>
        <v>2.007549704622424</v>
      </c>
      <c r="J37" s="29">
        <f t="shared" si="45"/>
        <v>1.9823807607519115</v>
      </c>
      <c r="K37" s="29">
        <f t="shared" si="46"/>
        <v>1.9744840523848446</v>
      </c>
      <c r="L37" s="125">
        <f t="shared" si="0"/>
        <v>2.0116584729826203</v>
      </c>
      <c r="M37" s="126">
        <f t="shared" si="1"/>
        <v>7.5235108804222128E-2</v>
      </c>
      <c r="N37" s="126">
        <f t="shared" si="47"/>
        <v>3.7399543617696445</v>
      </c>
      <c r="P37" s="138">
        <f t="shared" si="48"/>
        <v>422.44827932635025</v>
      </c>
      <c r="Q37" s="138">
        <f t="shared" si="49"/>
        <v>325.79239999999999</v>
      </c>
      <c r="R37" s="138">
        <f t="shared" si="50"/>
        <v>422.44827932635025</v>
      </c>
      <c r="S37" s="138">
        <f t="shared" si="51"/>
        <v>414.6063410187449</v>
      </c>
      <c r="T37" s="138">
        <f t="shared" si="52"/>
        <v>454.95875805501055</v>
      </c>
      <c r="U37" s="138">
        <f t="shared" si="53"/>
        <v>422.44827932635025</v>
      </c>
      <c r="V37" s="138">
        <f t="shared" si="54"/>
        <v>318.26981999999998</v>
      </c>
      <c r="W37" s="138">
        <f t="shared" si="55"/>
        <v>397.28173672182942</v>
      </c>
      <c r="X37" s="138">
        <f t="shared" si="56"/>
        <v>53.041577328376555</v>
      </c>
      <c r="Y37" s="138">
        <f t="shared" si="57"/>
        <v>13.351124007372997</v>
      </c>
      <c r="AA37" s="227">
        <f t="shared" si="58"/>
        <v>0.44924022855000001</v>
      </c>
      <c r="AB37" s="227">
        <f t="shared" si="59"/>
        <v>0.40356796116504851</v>
      </c>
      <c r="AC37" s="227">
        <f t="shared" si="60"/>
        <v>0.47</v>
      </c>
      <c r="AD37" s="227">
        <f t="shared" si="61"/>
        <v>0.44924022855000001</v>
      </c>
      <c r="AE37" s="227">
        <f t="shared" si="62"/>
        <v>0.44301210456626217</v>
      </c>
      <c r="AF37" s="227">
        <f t="shared" si="63"/>
        <v>2.8058070765892503E-2</v>
      </c>
      <c r="AG37" s="227">
        <f t="shared" si="64"/>
        <v>6.3334772293328623</v>
      </c>
      <c r="AI37" s="228">
        <f t="shared" si="65"/>
        <v>4.5045793936850336</v>
      </c>
      <c r="AJ37" s="228">
        <f t="shared" si="66"/>
        <v>4.5045793936850336</v>
      </c>
      <c r="AK37" s="228">
        <f t="shared" si="67"/>
        <v>4.5045793936850336</v>
      </c>
      <c r="AL37" s="228">
        <f t="shared" si="68"/>
        <v>7.0320944419250262</v>
      </c>
      <c r="AM37" s="228">
        <f t="shared" si="69"/>
        <v>4.28</v>
      </c>
      <c r="AN37" s="228">
        <f t="shared" si="70"/>
        <v>5.0972800749594853</v>
      </c>
      <c r="AO37" s="228">
        <f t="shared" si="71"/>
        <v>4.6141618284280845</v>
      </c>
      <c r="AP37" s="228">
        <f t="shared" si="72"/>
        <v>4.9338963609096709</v>
      </c>
      <c r="AQ37" s="228">
        <f t="shared" si="73"/>
        <v>0.95846050364688795</v>
      </c>
      <c r="AR37" s="228">
        <f t="shared" si="74"/>
        <v>19.426036412937037</v>
      </c>
      <c r="AT37" s="229">
        <f t="shared" si="75"/>
        <v>1.4035642062689586</v>
      </c>
      <c r="AU37" s="229">
        <f t="shared" si="76"/>
        <v>1.47</v>
      </c>
      <c r="AV37" s="229">
        <f t="shared" si="77"/>
        <v>1.3697326769902898</v>
      </c>
      <c r="AW37" s="229">
        <f t="shared" si="78"/>
        <v>1.4035642062689586</v>
      </c>
      <c r="AX37" s="229">
        <f t="shared" si="79"/>
        <v>0.62589346076670105</v>
      </c>
      <c r="AY37" s="229">
        <f t="shared" si="80"/>
        <v>1.3</v>
      </c>
      <c r="AZ37" s="229">
        <f t="shared" si="81"/>
        <v>1.2999999941518494</v>
      </c>
      <c r="BA37" s="229">
        <f t="shared" si="82"/>
        <v>1.2645456170764495</v>
      </c>
      <c r="BB37" s="229">
        <f t="shared" si="83"/>
        <v>1.2671625201904009</v>
      </c>
      <c r="BC37" s="229">
        <f t="shared" si="84"/>
        <v>0.26786563122583068</v>
      </c>
      <c r="BD37" s="229">
        <f t="shared" si="85"/>
        <v>21.139011528338276</v>
      </c>
      <c r="BF37" s="230">
        <f t="shared" si="86"/>
        <v>11.73</v>
      </c>
      <c r="BG37" s="230">
        <f t="shared" si="87"/>
        <v>6.27</v>
      </c>
      <c r="BH37" s="230">
        <f t="shared" si="88"/>
        <v>6.6146461508825087</v>
      </c>
      <c r="BI37" s="230">
        <f t="shared" si="192"/>
        <v>8.2048820502941684</v>
      </c>
      <c r="BJ37" s="230">
        <f t="shared" si="193"/>
        <v>3.0577013689752675</v>
      </c>
      <c r="BK37" s="230">
        <f t="shared" si="89"/>
        <v>37.266853444476268</v>
      </c>
      <c r="BM37" s="227">
        <f t="shared" si="90"/>
        <v>31.73</v>
      </c>
      <c r="BN37" s="227">
        <f t="shared" si="91"/>
        <v>24.700701137082483</v>
      </c>
      <c r="BO37" s="227">
        <f t="shared" si="92"/>
        <v>22.694316312609871</v>
      </c>
      <c r="BP37" s="227">
        <f t="shared" si="93"/>
        <v>24.700701137082483</v>
      </c>
      <c r="BQ37" s="227">
        <f t="shared" si="94"/>
        <v>15.17</v>
      </c>
      <c r="BR37" s="227">
        <f t="shared" si="95"/>
        <v>22.661587221978454</v>
      </c>
      <c r="BS37" s="227">
        <f t="shared" si="96"/>
        <v>19.95</v>
      </c>
      <c r="BT37" s="227">
        <f t="shared" si="194"/>
        <v>23.086757972679038</v>
      </c>
      <c r="BU37" s="227">
        <f t="shared" si="195"/>
        <v>5.0458620971321544</v>
      </c>
      <c r="BV37" s="227">
        <f t="shared" si="97"/>
        <v>21.856087819274787</v>
      </c>
      <c r="BX37" s="231">
        <f t="shared" si="98"/>
        <v>0.33971153030373691</v>
      </c>
      <c r="BY37" s="231">
        <f t="shared" si="99"/>
        <v>0.30818025358800355</v>
      </c>
      <c r="BZ37" s="231">
        <f t="shared" si="100"/>
        <v>0.31850592935301436</v>
      </c>
      <c r="CA37" s="231">
        <f t="shared" si="101"/>
        <v>0.24</v>
      </c>
      <c r="CB37" s="231">
        <f t="shared" si="102"/>
        <v>0.36086342562700546</v>
      </c>
      <c r="CC37" s="231">
        <f t="shared" si="103"/>
        <v>0.32226543529355717</v>
      </c>
      <c r="CD37" s="231">
        <f t="shared" si="104"/>
        <v>0.48</v>
      </c>
      <c r="CE37" s="231">
        <f t="shared" si="105"/>
        <v>0.47242877602749189</v>
      </c>
      <c r="CF37" s="231">
        <f t="shared" si="106"/>
        <v>0.35524441877410118</v>
      </c>
      <c r="CG37" s="231">
        <f t="shared" si="107"/>
        <v>8.2377713832379434E-2</v>
      </c>
      <c r="CH37" s="231">
        <f t="shared" si="196"/>
        <v>23.189024085629104</v>
      </c>
      <c r="CJ37" s="232">
        <f t="shared" si="108"/>
        <v>1.511564653403054</v>
      </c>
      <c r="CK37" s="232">
        <f t="shared" si="109"/>
        <v>1.511564653403054</v>
      </c>
      <c r="CL37" s="232">
        <f t="shared" si="110"/>
        <v>2.1</v>
      </c>
      <c r="CM37" s="232">
        <f t="shared" si="111"/>
        <v>1.8477506859417754</v>
      </c>
      <c r="CN37" s="232">
        <f t="shared" si="112"/>
        <v>1.8899851406136252</v>
      </c>
      <c r="CO37" s="232">
        <f t="shared" si="113"/>
        <v>1.5054372982558231</v>
      </c>
      <c r="CP37" s="232">
        <f t="shared" si="114"/>
        <v>1.5125167739986543</v>
      </c>
      <c r="CQ37" s="232">
        <f t="shared" si="115"/>
        <v>1.8413408127430098</v>
      </c>
      <c r="CR37" s="232">
        <f t="shared" si="116"/>
        <v>3.928826642391849</v>
      </c>
      <c r="CS37" s="232">
        <f t="shared" si="117"/>
        <v>1.41</v>
      </c>
      <c r="CT37" s="232">
        <f t="shared" si="118"/>
        <v>1.4306046637628347</v>
      </c>
      <c r="CU37" s="232">
        <f t="shared" si="119"/>
        <v>1.8626901204103345</v>
      </c>
      <c r="CV37" s="232">
        <f t="shared" si="120"/>
        <v>0.7221575610477835</v>
      </c>
      <c r="CW37" s="232">
        <f t="shared" si="197"/>
        <v>38.769602798381648</v>
      </c>
      <c r="CY37" s="229">
        <f t="shared" si="198"/>
        <v>1.19</v>
      </c>
      <c r="CZ37" s="229">
        <f t="shared" si="199"/>
        <v>0.7134392677364797</v>
      </c>
      <c r="DA37" s="229">
        <f t="shared" si="200"/>
        <v>0.53999842876869075</v>
      </c>
      <c r="DB37" s="229">
        <f t="shared" si="201"/>
        <v>1.1787972996990945</v>
      </c>
      <c r="DC37" s="229">
        <f t="shared" si="202"/>
        <v>0.57999999999999996</v>
      </c>
      <c r="DD37" s="229">
        <f t="shared" si="203"/>
        <v>0.54893785422640606</v>
      </c>
      <c r="DE37" s="229">
        <f t="shared" si="204"/>
        <v>0.8</v>
      </c>
      <c r="DF37" s="229">
        <f t="shared" si="205"/>
        <v>0.79302469291866717</v>
      </c>
      <c r="DG37" s="229">
        <f t="shared" si="206"/>
        <v>0.28336448505719086</v>
      </c>
      <c r="DH37" s="229">
        <f t="shared" si="207"/>
        <v>35.732113714427904</v>
      </c>
      <c r="DJ37" s="234">
        <f t="shared" si="121"/>
        <v>0.11606114632215443</v>
      </c>
      <c r="DK37" s="234">
        <f t="shared" si="122"/>
        <v>0.1568393869218303</v>
      </c>
      <c r="DL37" s="234">
        <f t="shared" si="123"/>
        <v>0.1181174440709523</v>
      </c>
      <c r="DM37" s="234">
        <f t="shared" si="208"/>
        <v>0.13033932577164567</v>
      </c>
      <c r="DN37" s="234">
        <f t="shared" si="209"/>
        <v>2.2972745174022452E-2</v>
      </c>
      <c r="DO37" s="234">
        <f t="shared" si="210"/>
        <v>17.62533681835264</v>
      </c>
      <c r="DQ37" s="229">
        <f t="shared" si="124"/>
        <v>3.49</v>
      </c>
      <c r="DR37" s="229">
        <f t="shared" si="125"/>
        <v>3.8527989526462854</v>
      </c>
      <c r="DS37" s="229">
        <f t="shared" si="126"/>
        <v>3.0174877094739307</v>
      </c>
      <c r="DT37" s="229">
        <f t="shared" si="127"/>
        <v>2.6245689980887561</v>
      </c>
      <c r="DU37" s="229">
        <f t="shared" si="128"/>
        <v>3.8527989526462854</v>
      </c>
      <c r="DV37" s="229">
        <f t="shared" si="129"/>
        <v>1.97</v>
      </c>
      <c r="DW37" s="229">
        <f t="shared" si="130"/>
        <v>1.2639</v>
      </c>
      <c r="DX37" s="229">
        <f t="shared" si="131"/>
        <v>3.52319775990137</v>
      </c>
      <c r="DY37" s="229">
        <f t="shared" si="211"/>
        <v>2.9493440465945788</v>
      </c>
      <c r="DZ37" s="229">
        <f t="shared" si="212"/>
        <v>0.93839051157442943</v>
      </c>
      <c r="EA37" s="229">
        <f t="shared" si="213"/>
        <v>31.816922568186971</v>
      </c>
      <c r="EC37" s="235">
        <f t="shared" si="132"/>
        <v>0.21041590244170857</v>
      </c>
      <c r="ED37" s="235">
        <f t="shared" si="133"/>
        <v>0.15</v>
      </c>
      <c r="EE37" s="235">
        <f t="shared" si="134"/>
        <v>0.17252332561401335</v>
      </c>
      <c r="EF37" s="235">
        <f t="shared" si="135"/>
        <v>0.14831598048161868</v>
      </c>
      <c r="EG37" s="235">
        <f t="shared" si="136"/>
        <v>0.17031380213433514</v>
      </c>
      <c r="EH37" s="235">
        <f t="shared" si="137"/>
        <v>2.8922973323914161E-2</v>
      </c>
      <c r="EI37" s="235">
        <f t="shared" si="214"/>
        <v>16.982166425420498</v>
      </c>
      <c r="EK37" s="236">
        <f t="shared" si="138"/>
        <v>20.705381659388649</v>
      </c>
      <c r="EL37" s="236">
        <f t="shared" si="139"/>
        <v>28.404833261034693</v>
      </c>
      <c r="EM37" s="236">
        <f t="shared" si="140"/>
        <v>29.014129990842381</v>
      </c>
      <c r="EN37" s="236">
        <f t="shared" si="141"/>
        <v>14.4</v>
      </c>
      <c r="EO37" s="236">
        <f t="shared" si="142"/>
        <v>28.140537479900178</v>
      </c>
      <c r="EP37" s="236">
        <f t="shared" si="143"/>
        <v>29.014129990842381</v>
      </c>
      <c r="EQ37" s="236">
        <f t="shared" si="144"/>
        <v>31.778220650543719</v>
      </c>
      <c r="ER37" s="236">
        <f t="shared" si="145"/>
        <v>25.922461861793145</v>
      </c>
      <c r="ES37" s="236">
        <f t="shared" si="146"/>
        <v>6.1165596953216443</v>
      </c>
      <c r="ET37" s="236">
        <f t="shared" si="215"/>
        <v>23.595597238921123</v>
      </c>
      <c r="EV37" s="238">
        <f t="shared" si="147"/>
        <v>1.5683938692183031E-2</v>
      </c>
      <c r="EW37" s="238">
        <f t="shared" si="148"/>
        <v>1.5683938692183031E-2</v>
      </c>
      <c r="EX37" s="238" t="e">
        <f t="shared" si="149"/>
        <v>#DIV/0!</v>
      </c>
      <c r="EY37" s="238" t="e">
        <f t="shared" si="216"/>
        <v>#DIV/0!</v>
      </c>
      <c r="FA37" s="240">
        <f t="shared" si="150"/>
        <v>0.48620209945767395</v>
      </c>
      <c r="FB37" s="240">
        <f t="shared" si="151"/>
        <v>0.6532360465294228</v>
      </c>
      <c r="FC37" s="240">
        <f t="shared" si="152"/>
        <v>0.5697190729935484</v>
      </c>
      <c r="FD37" s="240">
        <f t="shared" si="153"/>
        <v>0.11811083666278793</v>
      </c>
      <c r="FE37" s="240">
        <f t="shared" si="217"/>
        <v>20.73141698454695</v>
      </c>
      <c r="FG37" s="236">
        <f t="shared" si="154"/>
        <v>1.2</v>
      </c>
      <c r="FH37" s="236">
        <f t="shared" si="155"/>
        <v>1.3939483922654738</v>
      </c>
      <c r="FI37" s="236">
        <f t="shared" si="156"/>
        <v>1.2939249421051002</v>
      </c>
      <c r="FJ37" s="236">
        <f t="shared" si="157"/>
        <v>0.92</v>
      </c>
      <c r="FK37" s="236">
        <f t="shared" si="158"/>
        <v>1.2547150953746424</v>
      </c>
      <c r="FL37" s="236">
        <f t="shared" si="159"/>
        <v>0.9</v>
      </c>
      <c r="FM37" s="236">
        <f t="shared" si="160"/>
        <v>1.1604314049575362</v>
      </c>
      <c r="FN37" s="236">
        <f t="shared" si="161"/>
        <v>0.20417520564057556</v>
      </c>
      <c r="FO37" s="236">
        <f t="shared" si="218"/>
        <v>17.594767322593015</v>
      </c>
      <c r="FQ37" s="227">
        <f t="shared" si="162"/>
        <v>0.32</v>
      </c>
      <c r="FR37" s="227">
        <f t="shared" si="163"/>
        <v>0.35251790998749771</v>
      </c>
      <c r="FS37" s="227">
        <f t="shared" si="164"/>
        <v>0.35251790998749771</v>
      </c>
      <c r="FT37" s="227">
        <f t="shared" si="165"/>
        <v>0.24</v>
      </c>
      <c r="FU37" s="227">
        <f t="shared" si="166"/>
        <v>0.32677486265163341</v>
      </c>
      <c r="FV37" s="227">
        <f t="shared" si="219"/>
        <v>0.31836213652532575</v>
      </c>
      <c r="FW37" s="227">
        <f t="shared" si="220"/>
        <v>4.6225844286638548E-2</v>
      </c>
      <c r="FX37" s="227">
        <f t="shared" si="221"/>
        <v>14.519893851435212</v>
      </c>
      <c r="FZ37" s="230">
        <f t="shared" si="167"/>
        <v>1.6468135626792184</v>
      </c>
      <c r="GA37" s="230">
        <f t="shared" si="168"/>
        <v>2.4700000000000002</v>
      </c>
      <c r="GB37" s="230">
        <f t="shared" si="169"/>
        <v>3.5013777570469897</v>
      </c>
      <c r="GC37" s="230">
        <f t="shared" si="170"/>
        <v>2.5393971065754024</v>
      </c>
      <c r="GD37" s="230">
        <f t="shared" si="171"/>
        <v>0.92922766669881574</v>
      </c>
      <c r="GE37" s="230">
        <f t="shared" si="222"/>
        <v>36.592451975814058</v>
      </c>
      <c r="GG37" s="231">
        <f t="shared" si="172"/>
        <v>0.10978757084528122</v>
      </c>
      <c r="GH37" s="231">
        <f t="shared" si="173"/>
        <v>0.05</v>
      </c>
      <c r="GI37" s="231">
        <f t="shared" si="174"/>
        <v>0.05</v>
      </c>
      <c r="GJ37" s="231">
        <f t="shared" si="175"/>
        <v>0.12170736425134032</v>
      </c>
      <c r="GK37" s="245">
        <f t="shared" si="186"/>
        <v>7.390245475044678E-2</v>
      </c>
      <c r="GL37" s="231">
        <f t="shared" si="187"/>
        <v>4.1400266053389874E-2</v>
      </c>
      <c r="GM37" s="231">
        <f t="shared" si="223"/>
        <v>56.020150065637139</v>
      </c>
      <c r="GO37" s="246">
        <f t="shared" si="176"/>
        <v>0.18</v>
      </c>
      <c r="GP37" s="246">
        <f t="shared" si="177"/>
        <v>0.18036529496010487</v>
      </c>
      <c r="GQ37" s="247">
        <f t="shared" si="188"/>
        <v>0.18018264748005242</v>
      </c>
      <c r="GR37" s="246">
        <f t="shared" si="189"/>
        <v>2.5830254342342488E-4</v>
      </c>
      <c r="GS37" s="246">
        <f t="shared" si="224"/>
        <v>0.14335594855327061</v>
      </c>
      <c r="GU37" s="249">
        <f t="shared" si="178"/>
        <v>2.2216299157477262E-2</v>
      </c>
      <c r="GV37" s="249">
        <f t="shared" si="179"/>
        <v>2.2216299157477262E-2</v>
      </c>
      <c r="GW37" s="249" t="e">
        <f t="shared" si="180"/>
        <v>#DIV/0!</v>
      </c>
      <c r="GX37" s="249" t="e">
        <f t="shared" si="225"/>
        <v>#DIV/0!</v>
      </c>
      <c r="GZ37" s="240">
        <f t="shared" si="181"/>
        <v>2.3525908038274548E-2</v>
      </c>
      <c r="HA37" s="240">
        <f t="shared" si="182"/>
        <v>2.3525908038274548E-2</v>
      </c>
      <c r="HB37" s="240" t="e">
        <f t="shared" si="183"/>
        <v>#DIV/0!</v>
      </c>
      <c r="HC37" s="240" t="e">
        <f t="shared" si="226"/>
        <v>#DIV/0!</v>
      </c>
      <c r="HE37" s="234">
        <f t="shared" si="184"/>
        <v>9.2889235218489019E-2</v>
      </c>
      <c r="HF37" s="234">
        <f t="shared" si="185"/>
        <v>9.2889235218489019E-2</v>
      </c>
      <c r="HG37" s="251">
        <f t="shared" si="190"/>
        <v>9.2889235218489019E-2</v>
      </c>
      <c r="HH37" s="234">
        <f t="shared" si="191"/>
        <v>0</v>
      </c>
      <c r="HI37" s="234">
        <f t="shared" si="227"/>
        <v>0</v>
      </c>
    </row>
    <row r="38" spans="2:217" ht="15.6" x14ac:dyDescent="0.25">
      <c r="B38">
        <v>34</v>
      </c>
      <c r="C38" s="124">
        <f t="shared" si="38"/>
        <v>78.522788337099101</v>
      </c>
      <c r="D38" s="124">
        <f t="shared" si="39"/>
        <v>178.35353031687958</v>
      </c>
      <c r="E38" s="29">
        <f t="shared" si="40"/>
        <v>2.1775111203390916</v>
      </c>
      <c r="F38" s="29">
        <f t="shared" si="41"/>
        <v>1.9816709188690467</v>
      </c>
      <c r="G38" s="29">
        <f t="shared" si="42"/>
        <v>1.967518123679123</v>
      </c>
      <c r="H38" s="29">
        <f t="shared" si="43"/>
        <v>1.9808276546482513</v>
      </c>
      <c r="I38" s="29">
        <f t="shared" si="44"/>
        <v>2.0060039408375143</v>
      </c>
      <c r="J38" s="29">
        <f t="shared" si="45"/>
        <v>1.9808276546482513</v>
      </c>
      <c r="K38" s="29">
        <f t="shared" si="46"/>
        <v>1.9723657897058211</v>
      </c>
      <c r="L38" s="125">
        <f t="shared" si="0"/>
        <v>2.0095321718181571</v>
      </c>
      <c r="M38" s="126">
        <f t="shared" si="1"/>
        <v>7.5055583612202478E-2</v>
      </c>
      <c r="N38" s="126">
        <f t="shared" si="47"/>
        <v>3.7349779548089899</v>
      </c>
      <c r="P38" s="138">
        <f t="shared" si="48"/>
        <v>422.00175608181297</v>
      </c>
      <c r="Q38" s="138">
        <f t="shared" si="49"/>
        <v>325.79239999999999</v>
      </c>
      <c r="R38" s="138">
        <f t="shared" si="50"/>
        <v>422.00175608181297</v>
      </c>
      <c r="S38" s="138">
        <f t="shared" si="51"/>
        <v>412.01632850783665</v>
      </c>
      <c r="T38" s="138">
        <f t="shared" si="52"/>
        <v>455.42611705019033</v>
      </c>
      <c r="U38" s="138">
        <f t="shared" si="53"/>
        <v>422.00175608181297</v>
      </c>
      <c r="V38" s="138">
        <f t="shared" si="54"/>
        <v>315.47928000000002</v>
      </c>
      <c r="W38" s="138">
        <f t="shared" si="55"/>
        <v>396.3884848290665</v>
      </c>
      <c r="X38" s="138">
        <f t="shared" si="56"/>
        <v>53.584663739403886</v>
      </c>
      <c r="Y38" s="138">
        <f t="shared" si="57"/>
        <v>13.518219067970922</v>
      </c>
      <c r="AA38" s="227">
        <f t="shared" si="58"/>
        <v>0.44964309559999999</v>
      </c>
      <c r="AB38" s="227">
        <f t="shared" si="59"/>
        <v>0.40389810426540285</v>
      </c>
      <c r="AC38" s="227">
        <f t="shared" si="60"/>
        <v>0.47</v>
      </c>
      <c r="AD38" s="227">
        <f t="shared" si="61"/>
        <v>0.44964309559999999</v>
      </c>
      <c r="AE38" s="227">
        <f t="shared" si="62"/>
        <v>0.44329607386635067</v>
      </c>
      <c r="AF38" s="227">
        <f t="shared" si="63"/>
        <v>2.7963482433365605E-2</v>
      </c>
      <c r="AG38" s="227">
        <f t="shared" si="64"/>
        <v>6.3080825845067858</v>
      </c>
      <c r="AI38" s="228">
        <f t="shared" si="65"/>
        <v>4.4988274344307699</v>
      </c>
      <c r="AJ38" s="228">
        <f t="shared" si="66"/>
        <v>4.4988274344307699</v>
      </c>
      <c r="AK38" s="228">
        <f t="shared" si="67"/>
        <v>4.4988274344307699</v>
      </c>
      <c r="AL38" s="228">
        <f t="shared" si="68"/>
        <v>7.0413363905762605</v>
      </c>
      <c r="AM38" s="228">
        <f t="shared" si="69"/>
        <v>4.28</v>
      </c>
      <c r="AN38" s="228">
        <f t="shared" si="70"/>
        <v>5.1039812419114421</v>
      </c>
      <c r="AO38" s="228">
        <f t="shared" si="71"/>
        <v>4.6088260160719798</v>
      </c>
      <c r="AP38" s="228">
        <f t="shared" si="72"/>
        <v>4.932946564550285</v>
      </c>
      <c r="AQ38" s="228">
        <f t="shared" si="73"/>
        <v>0.96361577083926164</v>
      </c>
      <c r="AR38" s="228">
        <f t="shared" si="74"/>
        <v>19.534283581421892</v>
      </c>
      <c r="AT38" s="229">
        <f t="shared" si="75"/>
        <v>1.4047404617651873</v>
      </c>
      <c r="AU38" s="229">
        <f t="shared" si="76"/>
        <v>1.47</v>
      </c>
      <c r="AV38" s="229">
        <f t="shared" si="77"/>
        <v>1.3651397888496273</v>
      </c>
      <c r="AW38" s="229">
        <f t="shared" si="78"/>
        <v>1.4047404617651873</v>
      </c>
      <c r="AX38" s="229">
        <f t="shared" si="79"/>
        <v>0.64422635308055232</v>
      </c>
      <c r="AY38" s="229">
        <f t="shared" si="80"/>
        <v>1.3</v>
      </c>
      <c r="AZ38" s="229">
        <f t="shared" si="81"/>
        <v>1.2999999967026292</v>
      </c>
      <c r="BA38" s="229">
        <f t="shared" si="82"/>
        <v>1.2625368079407251</v>
      </c>
      <c r="BB38" s="229">
        <f t="shared" si="83"/>
        <v>1.2689229837629885</v>
      </c>
      <c r="BC38" s="229">
        <f t="shared" si="84"/>
        <v>0.2615341114055082</v>
      </c>
      <c r="BD38" s="229">
        <f t="shared" si="85"/>
        <v>20.610715918308088</v>
      </c>
      <c r="BF38" s="230">
        <f t="shared" si="86"/>
        <v>11.73</v>
      </c>
      <c r="BG38" s="230">
        <f t="shared" si="87"/>
        <v>6.27</v>
      </c>
      <c r="BH38" s="230">
        <f t="shared" si="88"/>
        <v>6.6146461527558902</v>
      </c>
      <c r="BI38" s="230">
        <f t="shared" si="192"/>
        <v>8.2048820509186289</v>
      </c>
      <c r="BJ38" s="230">
        <f t="shared" si="193"/>
        <v>3.0577013684881145</v>
      </c>
      <c r="BK38" s="230">
        <f t="shared" si="89"/>
        <v>37.266853435702593</v>
      </c>
      <c r="BM38" s="227">
        <f t="shared" si="90"/>
        <v>31.73</v>
      </c>
      <c r="BN38" s="227">
        <f t="shared" si="91"/>
        <v>24.662770110527973</v>
      </c>
      <c r="BO38" s="227">
        <f t="shared" si="92"/>
        <v>22.704301753076535</v>
      </c>
      <c r="BP38" s="227">
        <f t="shared" si="93"/>
        <v>24.662770110527973</v>
      </c>
      <c r="BQ38" s="227">
        <f t="shared" si="94"/>
        <v>15.17</v>
      </c>
      <c r="BR38" s="227">
        <f t="shared" si="95"/>
        <v>22.637858261128216</v>
      </c>
      <c r="BS38" s="227">
        <f t="shared" si="96"/>
        <v>19.95</v>
      </c>
      <c r="BT38" s="227">
        <f t="shared" si="194"/>
        <v>23.073957176465814</v>
      </c>
      <c r="BU38" s="227">
        <f t="shared" si="195"/>
        <v>5.0420598523080775</v>
      </c>
      <c r="BV38" s="227">
        <f t="shared" si="97"/>
        <v>21.851734463001886</v>
      </c>
      <c r="BX38" s="231">
        <f t="shared" si="98"/>
        <v>0.33879524630666608</v>
      </c>
      <c r="BY38" s="231">
        <f t="shared" si="99"/>
        <v>0.30814657124572348</v>
      </c>
      <c r="BZ38" s="231">
        <f t="shared" si="100"/>
        <v>0.31880615470129658</v>
      </c>
      <c r="CA38" s="231">
        <f t="shared" si="101"/>
        <v>0.24</v>
      </c>
      <c r="CB38" s="231">
        <f t="shared" si="102"/>
        <v>0.36131146295886857</v>
      </c>
      <c r="CC38" s="231">
        <f t="shared" si="103"/>
        <v>0.32137273786343773</v>
      </c>
      <c r="CD38" s="231">
        <f t="shared" si="104"/>
        <v>0.48</v>
      </c>
      <c r="CE38" s="231">
        <f t="shared" si="105"/>
        <v>0.47006074178204649</v>
      </c>
      <c r="CF38" s="231">
        <f t="shared" si="106"/>
        <v>0.35481161435725483</v>
      </c>
      <c r="CG38" s="231">
        <f t="shared" si="107"/>
        <v>8.196440863091925E-2</v>
      </c>
      <c r="CH38" s="231">
        <f t="shared" si="196"/>
        <v>23.1008245824756</v>
      </c>
      <c r="CJ38" s="232">
        <f t="shared" si="108"/>
        <v>1.509664040394455</v>
      </c>
      <c r="CK38" s="232">
        <f t="shared" si="109"/>
        <v>1.509664040394455</v>
      </c>
      <c r="CL38" s="232">
        <f t="shared" si="110"/>
        <v>2.1</v>
      </c>
      <c r="CM38" s="232">
        <f t="shared" si="111"/>
        <v>1.8478140272323478</v>
      </c>
      <c r="CN38" s="232">
        <f t="shared" si="112"/>
        <v>1.8895868317979452</v>
      </c>
      <c r="CO38" s="232">
        <f t="shared" si="113"/>
        <v>1.5069807975680558</v>
      </c>
      <c r="CP38" s="232">
        <f t="shared" si="114"/>
        <v>1.5106149638114987</v>
      </c>
      <c r="CQ38" s="232">
        <f t="shared" si="115"/>
        <v>1.8436588729621122</v>
      </c>
      <c r="CR38" s="232">
        <f t="shared" si="116"/>
        <v>3.9339916956886647</v>
      </c>
      <c r="CS38" s="232">
        <f t="shared" si="117"/>
        <v>1.41</v>
      </c>
      <c r="CT38" s="232">
        <f t="shared" si="118"/>
        <v>1.4272723610646316</v>
      </c>
      <c r="CU38" s="232">
        <f t="shared" si="119"/>
        <v>1.8626588755376516</v>
      </c>
      <c r="CV38" s="232">
        <f t="shared" si="120"/>
        <v>0.72402837917020546</v>
      </c>
      <c r="CW38" s="232">
        <f t="shared" si="197"/>
        <v>38.870691175871727</v>
      </c>
      <c r="CY38" s="229">
        <f t="shared" si="198"/>
        <v>1.19</v>
      </c>
      <c r="CZ38" s="229">
        <f t="shared" si="199"/>
        <v>0.71595293913376656</v>
      </c>
      <c r="DA38" s="229">
        <f t="shared" si="200"/>
        <v>0.53757696390652232</v>
      </c>
      <c r="DB38" s="229">
        <f t="shared" si="201"/>
        <v>1.179978675955448</v>
      </c>
      <c r="DC38" s="229">
        <f t="shared" si="202"/>
        <v>0.57999999999999996</v>
      </c>
      <c r="DD38" s="229">
        <f t="shared" si="203"/>
        <v>0.54965951835969373</v>
      </c>
      <c r="DE38" s="229">
        <f t="shared" si="204"/>
        <v>0.8</v>
      </c>
      <c r="DF38" s="229">
        <f t="shared" si="205"/>
        <v>0.79330972819363299</v>
      </c>
      <c r="DG38" s="229">
        <f t="shared" si="206"/>
        <v>0.28377531930608557</v>
      </c>
      <c r="DH38" s="229">
        <f t="shared" si="207"/>
        <v>35.77106257756882</v>
      </c>
      <c r="DJ38" s="234">
        <f t="shared" si="121"/>
        <v>0.11621372673890666</v>
      </c>
      <c r="DK38" s="234">
        <f t="shared" si="122"/>
        <v>0.15704557667419822</v>
      </c>
      <c r="DL38" s="234">
        <f t="shared" si="123"/>
        <v>0.11778114432222309</v>
      </c>
      <c r="DM38" s="234">
        <f t="shared" si="208"/>
        <v>0.13034681591177599</v>
      </c>
      <c r="DN38" s="234">
        <f t="shared" si="209"/>
        <v>2.3135083080830138E-2</v>
      </c>
      <c r="DO38" s="234">
        <f t="shared" si="210"/>
        <v>17.748867065911991</v>
      </c>
      <c r="DQ38" s="229">
        <f t="shared" si="124"/>
        <v>3.49</v>
      </c>
      <c r="DR38" s="229">
        <f t="shared" si="125"/>
        <v>3.8487181268927628</v>
      </c>
      <c r="DS38" s="229">
        <f t="shared" si="126"/>
        <v>3.0142982577272357</v>
      </c>
      <c r="DT38" s="229">
        <f t="shared" si="127"/>
        <v>2.6272660518443969</v>
      </c>
      <c r="DU38" s="229">
        <f t="shared" si="128"/>
        <v>3.8487181268927628</v>
      </c>
      <c r="DV38" s="229">
        <f t="shared" si="129"/>
        <v>1.97</v>
      </c>
      <c r="DW38" s="229">
        <f t="shared" si="130"/>
        <v>1.3022</v>
      </c>
      <c r="DX38" s="229">
        <f t="shared" si="131"/>
        <v>3.5109332938679598</v>
      </c>
      <c r="DY38" s="229">
        <f t="shared" si="211"/>
        <v>2.9515167321531397</v>
      </c>
      <c r="DZ38" s="229">
        <f t="shared" si="212"/>
        <v>0.92624839362176448</v>
      </c>
      <c r="EA38" s="229">
        <f t="shared" si="213"/>
        <v>31.382115626566808</v>
      </c>
      <c r="EC38" s="235">
        <f t="shared" si="132"/>
        <v>0.21064743604629216</v>
      </c>
      <c r="ED38" s="235">
        <f t="shared" si="133"/>
        <v>0.15</v>
      </c>
      <c r="EE38" s="235">
        <f t="shared" si="134"/>
        <v>0.17275013434161804</v>
      </c>
      <c r="EF38" s="235">
        <f t="shared" si="135"/>
        <v>0.14792192906825946</v>
      </c>
      <c r="EG38" s="235">
        <f t="shared" si="136"/>
        <v>0.17032987486404239</v>
      </c>
      <c r="EH38" s="235">
        <f t="shared" si="137"/>
        <v>2.9136364692011415E-2</v>
      </c>
      <c r="EI38" s="235">
        <f t="shared" si="214"/>
        <v>17.105845181456345</v>
      </c>
      <c r="EK38" s="236">
        <f t="shared" si="138"/>
        <v>20.705381659388649</v>
      </c>
      <c r="EL38" s="236">
        <f t="shared" si="139"/>
        <v>28.642230077865648</v>
      </c>
      <c r="EM38" s="236">
        <f t="shared" si="140"/>
        <v>29.256619078514451</v>
      </c>
      <c r="EN38" s="236">
        <f t="shared" si="141"/>
        <v>14.4</v>
      </c>
      <c r="EO38" s="236">
        <f t="shared" si="142"/>
        <v>28.281739054075885</v>
      </c>
      <c r="EP38" s="236">
        <f t="shared" si="143"/>
        <v>29.256619078514451</v>
      </c>
      <c r="EQ38" s="236">
        <f t="shared" si="144"/>
        <v>31.864809288239684</v>
      </c>
      <c r="ER38" s="236">
        <f t="shared" si="145"/>
        <v>26.058199748085539</v>
      </c>
      <c r="ES38" s="236">
        <f t="shared" si="146"/>
        <v>6.1962906837583329</v>
      </c>
      <c r="ET38" s="236">
        <f t="shared" si="215"/>
        <v>23.778659860083259</v>
      </c>
      <c r="EV38" s="238">
        <f t="shared" si="147"/>
        <v>1.5704557667419822E-2</v>
      </c>
      <c r="EW38" s="238">
        <f t="shared" si="148"/>
        <v>1.5704557667419822E-2</v>
      </c>
      <c r="EX38" s="238" t="e">
        <f t="shared" si="149"/>
        <v>#DIV/0!</v>
      </c>
      <c r="EY38" s="238" t="e">
        <f t="shared" si="216"/>
        <v>#DIV/0!</v>
      </c>
      <c r="FA38" s="240">
        <f t="shared" si="150"/>
        <v>0.48684128769001439</v>
      </c>
      <c r="FB38" s="240">
        <f t="shared" si="151"/>
        <v>0.65409482684803544</v>
      </c>
      <c r="FC38" s="240">
        <f t="shared" si="152"/>
        <v>0.57046805726902494</v>
      </c>
      <c r="FD38" s="240">
        <f t="shared" si="153"/>
        <v>0.11826611171608621</v>
      </c>
      <c r="FE38" s="240">
        <f t="shared" si="217"/>
        <v>20.731416984547046</v>
      </c>
      <c r="FG38" s="236">
        <f t="shared" si="154"/>
        <v>1.2</v>
      </c>
      <c r="FH38" s="236">
        <f t="shared" si="155"/>
        <v>1.3924562105042304</v>
      </c>
      <c r="FI38" s="236">
        <f t="shared" si="156"/>
        <v>1.2956260075621353</v>
      </c>
      <c r="FJ38" s="236">
        <f t="shared" si="157"/>
        <v>0.92</v>
      </c>
      <c r="FK38" s="236">
        <f t="shared" si="158"/>
        <v>1.2563646133935857</v>
      </c>
      <c r="FL38" s="236">
        <f t="shared" si="159"/>
        <v>0.9</v>
      </c>
      <c r="FM38" s="236">
        <f t="shared" si="160"/>
        <v>1.1607411385766586</v>
      </c>
      <c r="FN38" s="236">
        <f t="shared" si="161"/>
        <v>0.20421221644425955</v>
      </c>
      <c r="FO38" s="236">
        <f t="shared" si="218"/>
        <v>17.593260862165334</v>
      </c>
      <c r="FQ38" s="227">
        <f t="shared" si="162"/>
        <v>0.32</v>
      </c>
      <c r="FR38" s="227">
        <f t="shared" si="163"/>
        <v>0.35156469933881301</v>
      </c>
      <c r="FS38" s="227">
        <f t="shared" si="164"/>
        <v>0.35156469933881301</v>
      </c>
      <c r="FT38" s="227">
        <f t="shared" si="165"/>
        <v>0.24</v>
      </c>
      <c r="FU38" s="227">
        <f t="shared" si="166"/>
        <v>0.32720445900069195</v>
      </c>
      <c r="FV38" s="227">
        <f t="shared" si="219"/>
        <v>0.31806677153566359</v>
      </c>
      <c r="FW38" s="227">
        <f t="shared" si="220"/>
        <v>4.5896290309553715E-2</v>
      </c>
      <c r="FX38" s="227">
        <f t="shared" si="221"/>
        <v>14.42976582808731</v>
      </c>
      <c r="FZ38" s="230">
        <f t="shared" si="167"/>
        <v>1.6489785550790812</v>
      </c>
      <c r="GA38" s="230">
        <f t="shared" si="168"/>
        <v>2.4700000000000002</v>
      </c>
      <c r="GB38" s="230">
        <f t="shared" si="169"/>
        <v>3.5094833627997373</v>
      </c>
      <c r="GC38" s="230">
        <f t="shared" si="170"/>
        <v>2.5428206392929398</v>
      </c>
      <c r="GD38" s="230">
        <f t="shared" si="171"/>
        <v>0.93238761736639986</v>
      </c>
      <c r="GE38" s="230">
        <f t="shared" si="222"/>
        <v>36.667455146410205</v>
      </c>
      <c r="GG38" s="231">
        <f t="shared" si="172"/>
        <v>0.10993190367193874</v>
      </c>
      <c r="GH38" s="231">
        <f t="shared" si="173"/>
        <v>0.05</v>
      </c>
      <c r="GI38" s="231">
        <f t="shared" si="174"/>
        <v>0.05</v>
      </c>
      <c r="GJ38" s="231">
        <f t="shared" si="175"/>
        <v>0.1218673674991778</v>
      </c>
      <c r="GK38" s="245">
        <f t="shared" si="186"/>
        <v>7.3955789166392602E-2</v>
      </c>
      <c r="GL38" s="231">
        <f t="shared" si="187"/>
        <v>4.1492643971600067E-2</v>
      </c>
      <c r="GM38" s="231">
        <f t="shared" si="223"/>
        <v>56.104659877600739</v>
      </c>
      <c r="GO38" s="246">
        <f t="shared" si="176"/>
        <v>0.18</v>
      </c>
      <c r="GP38" s="246">
        <f t="shared" si="177"/>
        <v>0.18060241317532794</v>
      </c>
      <c r="GQ38" s="247">
        <f t="shared" si="188"/>
        <v>0.18030120658766396</v>
      </c>
      <c r="GR38" s="246">
        <f t="shared" si="189"/>
        <v>4.2597044135050889E-4</v>
      </c>
      <c r="GS38" s="246">
        <f t="shared" si="224"/>
        <v>0.23625490334331095</v>
      </c>
      <c r="GU38" s="249">
        <f t="shared" si="178"/>
        <v>2.2245505935900176E-2</v>
      </c>
      <c r="GV38" s="249">
        <f t="shared" si="179"/>
        <v>2.2245505935900176E-2</v>
      </c>
      <c r="GW38" s="249" t="e">
        <f t="shared" si="180"/>
        <v>#DIV/0!</v>
      </c>
      <c r="GX38" s="249" t="e">
        <f t="shared" si="225"/>
        <v>#DIV/0!</v>
      </c>
      <c r="GZ38" s="240">
        <f t="shared" si="181"/>
        <v>2.3556836501129733E-2</v>
      </c>
      <c r="HA38" s="240">
        <f t="shared" si="182"/>
        <v>2.3556836501129733E-2</v>
      </c>
      <c r="HB38" s="240" t="e">
        <f t="shared" si="183"/>
        <v>#DIV/0!</v>
      </c>
      <c r="HC38" s="240" t="e">
        <f t="shared" si="226"/>
        <v>#DIV/0!</v>
      </c>
      <c r="HE38" s="234">
        <f t="shared" si="184"/>
        <v>9.301191812114791E-2</v>
      </c>
      <c r="HF38" s="234">
        <f t="shared" si="185"/>
        <v>9.301191812114791E-2</v>
      </c>
      <c r="HG38" s="251">
        <f t="shared" si="190"/>
        <v>9.301191812114791E-2</v>
      </c>
      <c r="HH38" s="234">
        <f t="shared" si="191"/>
        <v>0</v>
      </c>
      <c r="HI38" s="234">
        <f t="shared" si="227"/>
        <v>0</v>
      </c>
    </row>
    <row r="39" spans="2:217" ht="15.6" x14ac:dyDescent="0.25">
      <c r="B39">
        <v>35</v>
      </c>
      <c r="C39" s="124">
        <f t="shared" si="38"/>
        <v>78.652619135271607</v>
      </c>
      <c r="D39" s="124">
        <f t="shared" si="39"/>
        <v>177.73650959596796</v>
      </c>
      <c r="E39" s="29">
        <f t="shared" si="40"/>
        <v>2.1750993012820747</v>
      </c>
      <c r="F39" s="29">
        <f t="shared" si="41"/>
        <v>1.9804592001524395</v>
      </c>
      <c r="G39" s="29">
        <f t="shared" si="42"/>
        <v>1.963959367092301</v>
      </c>
      <c r="H39" s="29">
        <f t="shared" si="43"/>
        <v>1.9796164515566299</v>
      </c>
      <c r="I39" s="29">
        <f t="shared" si="44"/>
        <v>2.004807798823971</v>
      </c>
      <c r="J39" s="29">
        <f t="shared" si="45"/>
        <v>1.9796164515566299</v>
      </c>
      <c r="K39" s="29">
        <f t="shared" si="46"/>
        <v>1.9705781720435513</v>
      </c>
      <c r="L39" s="125">
        <f t="shared" si="0"/>
        <v>2.007733820358228</v>
      </c>
      <c r="M39" s="126">
        <f t="shared" si="1"/>
        <v>7.4879445924014396E-2</v>
      </c>
      <c r="N39" s="126">
        <f t="shared" si="47"/>
        <v>3.7295504595651083</v>
      </c>
      <c r="P39" s="138">
        <f t="shared" si="48"/>
        <v>421.62410227522787</v>
      </c>
      <c r="Q39" s="138">
        <f t="shared" si="49"/>
        <v>325.79239999999999</v>
      </c>
      <c r="R39" s="138">
        <f t="shared" si="50"/>
        <v>421.62410227522787</v>
      </c>
      <c r="S39" s="138">
        <f t="shared" si="51"/>
        <v>409.5440397475495</v>
      </c>
      <c r="T39" s="138">
        <f t="shared" si="52"/>
        <v>456.01448705627536</v>
      </c>
      <c r="U39" s="138">
        <f t="shared" si="53"/>
        <v>421.62410227522787</v>
      </c>
      <c r="V39" s="138">
        <f t="shared" si="54"/>
        <v>312.74549999999999</v>
      </c>
      <c r="W39" s="138">
        <f t="shared" si="55"/>
        <v>395.56696194707263</v>
      </c>
      <c r="X39" s="138">
        <f t="shared" si="56"/>
        <v>54.181900015700407</v>
      </c>
      <c r="Y39" s="138">
        <f t="shared" si="57"/>
        <v>13.697276372375612</v>
      </c>
      <c r="AA39" s="227">
        <f t="shared" si="58"/>
        <v>0.44993138125000004</v>
      </c>
      <c r="AB39" s="227">
        <f t="shared" si="59"/>
        <v>0.40421296296296294</v>
      </c>
      <c r="AC39" s="227">
        <f t="shared" si="60"/>
        <v>0.47</v>
      </c>
      <c r="AD39" s="227">
        <f t="shared" si="61"/>
        <v>0.44993138125000004</v>
      </c>
      <c r="AE39" s="227">
        <f t="shared" si="62"/>
        <v>0.44351893136574078</v>
      </c>
      <c r="AF39" s="227">
        <f t="shared" si="63"/>
        <v>2.7859439903013063E-2</v>
      </c>
      <c r="AG39" s="227">
        <f t="shared" si="64"/>
        <v>6.2814545068515288</v>
      </c>
      <c r="AI39" s="228">
        <f t="shared" si="65"/>
        <v>4.4939636165587205</v>
      </c>
      <c r="AJ39" s="228">
        <f t="shared" si="66"/>
        <v>4.4939636165587205</v>
      </c>
      <c r="AK39" s="228">
        <f t="shared" si="67"/>
        <v>4.4939636165587205</v>
      </c>
      <c r="AL39" s="228">
        <f t="shared" si="68"/>
        <v>7.0529750725725293</v>
      </c>
      <c r="AM39" s="228">
        <f t="shared" si="69"/>
        <v>4.28</v>
      </c>
      <c r="AN39" s="228">
        <f t="shared" si="70"/>
        <v>5.1124202437926547</v>
      </c>
      <c r="AO39" s="228">
        <f t="shared" si="71"/>
        <v>4.604313171842346</v>
      </c>
      <c r="AP39" s="228">
        <f t="shared" si="72"/>
        <v>4.9330856196976702</v>
      </c>
      <c r="AQ39" s="228">
        <f t="shared" si="73"/>
        <v>0.96946624058949515</v>
      </c>
      <c r="AR39" s="228">
        <f t="shared" si="74"/>
        <v>19.652329501812094</v>
      </c>
      <c r="AT39" s="229">
        <f t="shared" si="75"/>
        <v>1.4058519108280254</v>
      </c>
      <c r="AU39" s="229">
        <f t="shared" si="76"/>
        <v>1.47</v>
      </c>
      <c r="AV39" s="229">
        <f t="shared" si="77"/>
        <v>1.3604964325707773</v>
      </c>
      <c r="AW39" s="229">
        <f t="shared" si="78"/>
        <v>1.4058519108280254</v>
      </c>
      <c r="AX39" s="229">
        <f t="shared" si="79"/>
        <v>0.66235760249611675</v>
      </c>
      <c r="AY39" s="229">
        <f t="shared" si="80"/>
        <v>1.3</v>
      </c>
      <c r="AZ39" s="229">
        <f t="shared" si="81"/>
        <v>1.2999999981408388</v>
      </c>
      <c r="BA39" s="229">
        <f t="shared" si="82"/>
        <v>1.2605311899228926</v>
      </c>
      <c r="BB39" s="229">
        <f t="shared" si="83"/>
        <v>1.2706361305983345</v>
      </c>
      <c r="BC39" s="229">
        <f t="shared" si="84"/>
        <v>0.25529165166227891</v>
      </c>
      <c r="BD39" s="229">
        <f t="shared" si="85"/>
        <v>20.091641148443003</v>
      </c>
      <c r="BF39" s="230">
        <f t="shared" si="86"/>
        <v>11.73</v>
      </c>
      <c r="BG39" s="230">
        <f t="shared" si="87"/>
        <v>6.27</v>
      </c>
      <c r="BH39" s="230">
        <f t="shared" si="88"/>
        <v>6.6146461534450678</v>
      </c>
      <c r="BI39" s="230">
        <f t="shared" si="192"/>
        <v>8.2048820511483562</v>
      </c>
      <c r="BJ39" s="230">
        <f t="shared" si="193"/>
        <v>3.0577013683089023</v>
      </c>
      <c r="BK39" s="230">
        <f t="shared" si="89"/>
        <v>37.266853432474953</v>
      </c>
      <c r="BM39" s="227">
        <f t="shared" si="90"/>
        <v>31.73</v>
      </c>
      <c r="BN39" s="227">
        <f t="shared" si="91"/>
        <v>24.63047817415174</v>
      </c>
      <c r="BO39" s="227">
        <f t="shared" si="92"/>
        <v>22.716828953233488</v>
      </c>
      <c r="BP39" s="227">
        <f t="shared" si="93"/>
        <v>24.63047817415174</v>
      </c>
      <c r="BQ39" s="227">
        <f t="shared" si="94"/>
        <v>15.17</v>
      </c>
      <c r="BR39" s="227">
        <f t="shared" si="95"/>
        <v>22.615870798295621</v>
      </c>
      <c r="BS39" s="227">
        <f t="shared" si="96"/>
        <v>19.95</v>
      </c>
      <c r="BT39" s="227">
        <f t="shared" si="194"/>
        <v>23.063379442833227</v>
      </c>
      <c r="BU39" s="227">
        <f t="shared" si="195"/>
        <v>5.0388629762689181</v>
      </c>
      <c r="BV39" s="227">
        <f t="shared" si="97"/>
        <v>21.847895226103592</v>
      </c>
      <c r="BX39" s="231">
        <f t="shared" si="98"/>
        <v>0.33793745869655317</v>
      </c>
      <c r="BY39" s="231">
        <f t="shared" si="99"/>
        <v>0.30820677209350622</v>
      </c>
      <c r="BZ39" s="231">
        <f t="shared" si="100"/>
        <v>0.3191845878221114</v>
      </c>
      <c r="CA39" s="231">
        <f t="shared" si="101"/>
        <v>0.24</v>
      </c>
      <c r="CB39" s="231">
        <f t="shared" si="102"/>
        <v>0.36188768172415869</v>
      </c>
      <c r="CC39" s="231">
        <f t="shared" si="103"/>
        <v>0.32053214306804129</v>
      </c>
      <c r="CD39" s="231">
        <f t="shared" si="104"/>
        <v>0.48</v>
      </c>
      <c r="CE39" s="231">
        <f t="shared" si="105"/>
        <v>0.46768542884388997</v>
      </c>
      <c r="CF39" s="231">
        <f t="shared" si="106"/>
        <v>0.35442925903103256</v>
      </c>
      <c r="CG39" s="231">
        <f t="shared" si="107"/>
        <v>8.1542586135651074E-2</v>
      </c>
      <c r="CH39" s="231">
        <f t="shared" si="196"/>
        <v>23.006730978864105</v>
      </c>
      <c r="CJ39" s="232">
        <f t="shared" si="108"/>
        <v>1.5080565681154106</v>
      </c>
      <c r="CK39" s="232">
        <f t="shared" si="109"/>
        <v>1.5080565681154106</v>
      </c>
      <c r="CL39" s="232">
        <f t="shared" si="110"/>
        <v>2.1</v>
      </c>
      <c r="CM39" s="232">
        <f t="shared" si="111"/>
        <v>1.8487716726701433</v>
      </c>
      <c r="CN39" s="232">
        <f t="shared" si="112"/>
        <v>1.8898661582930265</v>
      </c>
      <c r="CO39" s="232">
        <f t="shared" si="113"/>
        <v>1.5089239433915889</v>
      </c>
      <c r="CP39" s="232">
        <f t="shared" si="114"/>
        <v>1.5090064790005322</v>
      </c>
      <c r="CQ39" s="232">
        <f t="shared" si="115"/>
        <v>1.846576702090609</v>
      </c>
      <c r="CR39" s="232">
        <f t="shared" si="116"/>
        <v>3.9404962186771075</v>
      </c>
      <c r="CS39" s="232">
        <f t="shared" si="117"/>
        <v>1.41</v>
      </c>
      <c r="CT39" s="232">
        <f t="shared" si="118"/>
        <v>1.4241136272236929</v>
      </c>
      <c r="CU39" s="232">
        <f t="shared" si="119"/>
        <v>1.8630789034161381</v>
      </c>
      <c r="CV39" s="232">
        <f t="shared" si="120"/>
        <v>0.72621172017989566</v>
      </c>
      <c r="CW39" s="232">
        <f t="shared" si="197"/>
        <v>38.979117784454282</v>
      </c>
      <c r="CY39" s="229">
        <f t="shared" si="198"/>
        <v>1.19</v>
      </c>
      <c r="CZ39" s="229">
        <f t="shared" si="199"/>
        <v>0.71878747557731482</v>
      </c>
      <c r="DA39" s="229">
        <f t="shared" si="200"/>
        <v>0.53514533342234993</v>
      </c>
      <c r="DB39" s="229">
        <f t="shared" si="201"/>
        <v>1.1814650463099188</v>
      </c>
      <c r="DC39" s="229">
        <f t="shared" si="202"/>
        <v>0.57999999999999996</v>
      </c>
      <c r="DD39" s="229">
        <f t="shared" si="203"/>
        <v>0.5505683339469013</v>
      </c>
      <c r="DE39" s="229">
        <f t="shared" si="204"/>
        <v>0.8</v>
      </c>
      <c r="DF39" s="229">
        <f t="shared" si="205"/>
        <v>0.79370945560806927</v>
      </c>
      <c r="DG39" s="229">
        <f t="shared" si="206"/>
        <v>0.28422356502000579</v>
      </c>
      <c r="DH39" s="229">
        <f t="shared" si="207"/>
        <v>35.809522365115214</v>
      </c>
      <c r="DJ39" s="234">
        <f t="shared" si="121"/>
        <v>0.11640587632020198</v>
      </c>
      <c r="DK39" s="234">
        <f t="shared" si="122"/>
        <v>0.15730523827054321</v>
      </c>
      <c r="DL39" s="234">
        <f t="shared" si="123"/>
        <v>0.11746539763389097</v>
      </c>
      <c r="DM39" s="234">
        <f t="shared" si="208"/>
        <v>0.13039217074154538</v>
      </c>
      <c r="DN39" s="234">
        <f t="shared" si="209"/>
        <v>2.3313419938285222E-2</v>
      </c>
      <c r="DO39" s="234">
        <f t="shared" si="210"/>
        <v>17.879463012005161</v>
      </c>
      <c r="DQ39" s="229">
        <f t="shared" si="124"/>
        <v>3.49</v>
      </c>
      <c r="DR39" s="229">
        <f t="shared" si="125"/>
        <v>3.8452667139489072</v>
      </c>
      <c r="DS39" s="229">
        <f t="shared" si="126"/>
        <v>3.0116007305373418</v>
      </c>
      <c r="DT39" s="229">
        <f t="shared" si="127"/>
        <v>2.6306658773449874</v>
      </c>
      <c r="DU39" s="229">
        <f t="shared" si="128"/>
        <v>3.8452667139489072</v>
      </c>
      <c r="DV39" s="229">
        <f t="shared" si="129"/>
        <v>1.97</v>
      </c>
      <c r="DW39" s="229">
        <f t="shared" si="130"/>
        <v>1.3405</v>
      </c>
      <c r="DX39" s="229">
        <f t="shared" si="131"/>
        <v>3.5005937656252009</v>
      </c>
      <c r="DY39" s="229">
        <f t="shared" si="211"/>
        <v>2.9542367251756678</v>
      </c>
      <c r="DZ39" s="229">
        <f t="shared" si="212"/>
        <v>0.91450799075849276</v>
      </c>
      <c r="EA39" s="229">
        <f t="shared" si="213"/>
        <v>30.955812815038154</v>
      </c>
      <c r="EC39" s="235">
        <f t="shared" si="132"/>
        <v>0.21093884555465925</v>
      </c>
      <c r="ED39" s="235">
        <f t="shared" si="133"/>
        <v>0.15</v>
      </c>
      <c r="EE39" s="235">
        <f t="shared" si="134"/>
        <v>0.17303576209759755</v>
      </c>
      <c r="EF39" s="235">
        <f t="shared" si="135"/>
        <v>0.14755196022566916</v>
      </c>
      <c r="EG39" s="235">
        <f t="shared" si="136"/>
        <v>0.1703816419694815</v>
      </c>
      <c r="EH39" s="235">
        <f t="shared" si="137"/>
        <v>2.9374233687592548E-2</v>
      </c>
      <c r="EI39" s="235">
        <f t="shared" si="214"/>
        <v>17.240257429174218</v>
      </c>
      <c r="EK39" s="236">
        <f t="shared" si="138"/>
        <v>20.705381659388649</v>
      </c>
      <c r="EL39" s="236">
        <f t="shared" si="139"/>
        <v>28.896770840078499</v>
      </c>
      <c r="EM39" s="236">
        <f t="shared" si="140"/>
        <v>29.516619857077117</v>
      </c>
      <c r="EN39" s="236">
        <f t="shared" si="141"/>
        <v>14.4</v>
      </c>
      <c r="EO39" s="236">
        <f t="shared" si="142"/>
        <v>28.436396615277019</v>
      </c>
      <c r="EP39" s="236">
        <f t="shared" si="143"/>
        <v>29.516619857077117</v>
      </c>
      <c r="EQ39" s="236">
        <f t="shared" si="144"/>
        <v>31.9739453582573</v>
      </c>
      <c r="ER39" s="236">
        <f t="shared" si="145"/>
        <v>26.206533455307959</v>
      </c>
      <c r="ES39" s="236">
        <f t="shared" si="146"/>
        <v>6.285472061883282</v>
      </c>
      <c r="ET39" s="236">
        <f t="shared" si="215"/>
        <v>23.984370434198734</v>
      </c>
      <c r="EV39" s="238">
        <f t="shared" si="147"/>
        <v>1.5730523827054321E-2</v>
      </c>
      <c r="EW39" s="238">
        <f t="shared" si="148"/>
        <v>1.5730523827054321E-2</v>
      </c>
      <c r="EX39" s="238" t="e">
        <f t="shared" si="149"/>
        <v>#DIV/0!</v>
      </c>
      <c r="EY39" s="238" t="e">
        <f t="shared" si="216"/>
        <v>#DIV/0!</v>
      </c>
      <c r="FA39" s="240">
        <f t="shared" si="150"/>
        <v>0.48764623863868395</v>
      </c>
      <c r="FB39" s="240">
        <f t="shared" si="151"/>
        <v>0.65517631739681248</v>
      </c>
      <c r="FC39" s="240">
        <f t="shared" si="152"/>
        <v>0.57141127801774827</v>
      </c>
      <c r="FD39" s="240">
        <f t="shared" si="153"/>
        <v>0.11846165474258856</v>
      </c>
      <c r="FE39" s="240">
        <f t="shared" si="217"/>
        <v>20.731416984547003</v>
      </c>
      <c r="FG39" s="236">
        <f t="shared" si="154"/>
        <v>1.2</v>
      </c>
      <c r="FH39" s="236">
        <f t="shared" si="155"/>
        <v>1.3912891302773815</v>
      </c>
      <c r="FI39" s="236">
        <f t="shared" si="156"/>
        <v>1.2977682157319816</v>
      </c>
      <c r="FJ39" s="236">
        <f t="shared" si="157"/>
        <v>0.92</v>
      </c>
      <c r="FK39" s="236">
        <f t="shared" si="158"/>
        <v>1.2584419061643457</v>
      </c>
      <c r="FL39" s="236">
        <f t="shared" si="159"/>
        <v>0.9</v>
      </c>
      <c r="FM39" s="236">
        <f t="shared" si="160"/>
        <v>1.1612498753622849</v>
      </c>
      <c r="FN39" s="236">
        <f t="shared" si="161"/>
        <v>0.20442904823394417</v>
      </c>
      <c r="FO39" s="236">
        <f t="shared" si="218"/>
        <v>17.604225634053716</v>
      </c>
      <c r="FQ39" s="227">
        <f t="shared" si="162"/>
        <v>0.32</v>
      </c>
      <c r="FR39" s="227">
        <f t="shared" si="163"/>
        <v>0.35067234870623909</v>
      </c>
      <c r="FS39" s="227">
        <f t="shared" si="164"/>
        <v>0.35067234870623909</v>
      </c>
      <c r="FT39" s="227">
        <f t="shared" si="165"/>
        <v>0.24</v>
      </c>
      <c r="FU39" s="227">
        <f t="shared" si="166"/>
        <v>0.32774546393667675</v>
      </c>
      <c r="FV39" s="227">
        <f t="shared" si="219"/>
        <v>0.31781803226983102</v>
      </c>
      <c r="FW39" s="227">
        <f t="shared" si="220"/>
        <v>4.5600913494224848E-2</v>
      </c>
      <c r="FX39" s="227">
        <f t="shared" si="221"/>
        <v>14.348120265092188</v>
      </c>
      <c r="FZ39" s="230">
        <f t="shared" si="167"/>
        <v>1.6517050018407038</v>
      </c>
      <c r="GA39" s="230">
        <f t="shared" si="168"/>
        <v>2.4700000000000002</v>
      </c>
      <c r="GB39" s="230">
        <f t="shared" si="169"/>
        <v>3.5183481835428112</v>
      </c>
      <c r="GC39" s="230">
        <f t="shared" si="170"/>
        <v>2.5466843951278384</v>
      </c>
      <c r="GD39" s="230">
        <f t="shared" si="171"/>
        <v>0.93568133693626476</v>
      </c>
      <c r="GE39" s="230">
        <f t="shared" si="222"/>
        <v>36.741157982761955</v>
      </c>
      <c r="GG39" s="231">
        <f t="shared" si="172"/>
        <v>0.11011366678938025</v>
      </c>
      <c r="GH39" s="231">
        <f t="shared" si="173"/>
        <v>0.05</v>
      </c>
      <c r="GI39" s="231">
        <f t="shared" si="174"/>
        <v>0.05</v>
      </c>
      <c r="GJ39" s="231">
        <f t="shared" si="175"/>
        <v>0.12206886489794154</v>
      </c>
      <c r="GK39" s="245">
        <f t="shared" si="186"/>
        <v>7.4022954965980506E-2</v>
      </c>
      <c r="GL39" s="231">
        <f t="shared" si="187"/>
        <v>4.1608978549017343E-2</v>
      </c>
      <c r="GM39" s="231">
        <f t="shared" si="223"/>
        <v>56.210912639383302</v>
      </c>
      <c r="GO39" s="246">
        <f t="shared" si="176"/>
        <v>0.18</v>
      </c>
      <c r="GP39" s="246">
        <f t="shared" si="177"/>
        <v>0.18090102401112471</v>
      </c>
      <c r="GQ39" s="247">
        <f t="shared" si="188"/>
        <v>0.18045051200556234</v>
      </c>
      <c r="GR39" s="246">
        <f t="shared" si="189"/>
        <v>6.3712018827818755E-4</v>
      </c>
      <c r="GS39" s="246">
        <f t="shared" si="224"/>
        <v>0.35307197591024209</v>
      </c>
      <c r="GU39" s="249">
        <f t="shared" si="178"/>
        <v>2.2282287001022447E-2</v>
      </c>
      <c r="GV39" s="249">
        <f t="shared" si="179"/>
        <v>2.2282287001022447E-2</v>
      </c>
      <c r="GW39" s="249" t="e">
        <f t="shared" si="180"/>
        <v>#DIV/0!</v>
      </c>
      <c r="GX39" s="249" t="e">
        <f t="shared" si="225"/>
        <v>#DIV/0!</v>
      </c>
      <c r="GZ39" s="240">
        <f t="shared" si="181"/>
        <v>2.3595785740581483E-2</v>
      </c>
      <c r="HA39" s="240">
        <f t="shared" si="182"/>
        <v>2.3595785740581483E-2</v>
      </c>
      <c r="HB39" s="240" t="e">
        <f t="shared" si="183"/>
        <v>#DIV/0!</v>
      </c>
      <c r="HC39" s="240" t="e">
        <f t="shared" si="226"/>
        <v>#DIV/0!</v>
      </c>
      <c r="HE39" s="234">
        <f t="shared" si="184"/>
        <v>9.316641677097319E-2</v>
      </c>
      <c r="HF39" s="234">
        <f t="shared" si="185"/>
        <v>9.316641677097319E-2</v>
      </c>
      <c r="HG39" s="251">
        <f t="shared" si="190"/>
        <v>9.316641677097319E-2</v>
      </c>
      <c r="HH39" s="234">
        <f t="shared" si="191"/>
        <v>0</v>
      </c>
      <c r="HI39" s="234">
        <f t="shared" si="227"/>
        <v>0</v>
      </c>
    </row>
    <row r="40" spans="2:217" ht="15.6" x14ac:dyDescent="0.25">
      <c r="B40">
        <v>36</v>
      </c>
      <c r="C40" s="124">
        <f t="shared" si="38"/>
        <v>78.803834587256745</v>
      </c>
      <c r="D40" s="124">
        <f t="shared" si="39"/>
        <v>177.13477325976521</v>
      </c>
      <c r="E40" s="29">
        <f t="shared" si="40"/>
        <v>2.1730192297868092</v>
      </c>
      <c r="F40" s="29">
        <f t="shared" si="41"/>
        <v>1.9795841248819892</v>
      </c>
      <c r="G40" s="29">
        <f t="shared" si="42"/>
        <v>1.9607364452935268</v>
      </c>
      <c r="H40" s="29">
        <f t="shared" si="43"/>
        <v>1.9787417486586354</v>
      </c>
      <c r="I40" s="29">
        <f t="shared" si="44"/>
        <v>2.0039548020107767</v>
      </c>
      <c r="J40" s="29">
        <f t="shared" si="45"/>
        <v>1.9787417486586352</v>
      </c>
      <c r="K40" s="29">
        <f t="shared" si="46"/>
        <v>1.9691297691291172</v>
      </c>
      <c r="L40" s="125">
        <f t="shared" si="0"/>
        <v>2.0062725526313554</v>
      </c>
      <c r="M40" s="126">
        <f t="shared" si="1"/>
        <v>7.4711793199604179E-2</v>
      </c>
      <c r="N40" s="126">
        <f t="shared" si="47"/>
        <v>3.7239104478409404</v>
      </c>
      <c r="P40" s="138">
        <f t="shared" si="48"/>
        <v>421.31723605258463</v>
      </c>
      <c r="Q40" s="138">
        <f t="shared" si="49"/>
        <v>325.79239999999999</v>
      </c>
      <c r="R40" s="138">
        <f t="shared" si="50"/>
        <v>421.31723605258463</v>
      </c>
      <c r="S40" s="138">
        <f t="shared" si="51"/>
        <v>407.19197868641083</v>
      </c>
      <c r="T40" s="138">
        <f t="shared" si="52"/>
        <v>456.6995010552348</v>
      </c>
      <c r="U40" s="138">
        <f t="shared" si="53"/>
        <v>421.31723605258463</v>
      </c>
      <c r="V40" s="138">
        <f t="shared" si="54"/>
        <v>310.06848000000002</v>
      </c>
      <c r="W40" s="138">
        <f t="shared" si="55"/>
        <v>394.81486684277132</v>
      </c>
      <c r="X40" s="138">
        <f t="shared" si="56"/>
        <v>54.827120087244026</v>
      </c>
      <c r="Y40" s="138">
        <f t="shared" si="57"/>
        <v>13.886792188369657</v>
      </c>
      <c r="AA40" s="227">
        <f t="shared" ref="AA40:AA84" si="228">IF(B40 &lt; 2, 0.359, (0.00000112815 * B40^3) - (0.000172362 * B40^2) + (0.00815264 * B40) + 0.327363)</f>
        <v>0.45011185440000001</v>
      </c>
      <c r="AB40" s="227">
        <f t="shared" ref="AB40:AB84" si="229">IF(B40 &lt; 1, 0.355109, 0.3475 + (0.07 * B40) / (8.2 + B40))</f>
        <v>0.40451357466063348</v>
      </c>
      <c r="AC40" s="227">
        <f t="shared" ref="AC40:AC84" si="230">IF(B40&lt;18,(-0.1*(B40*365.25*24)^(0.00000000000966))-0.1*(B40*365.25*24)^0.00000155+0.00000055*B40*365.25*24+0.58,0.47)</f>
        <v>0.47</v>
      </c>
      <c r="AD40" s="227">
        <f t="shared" ref="AD40:AD84" si="231">IF(B40 &lt; 2, 0.359, (0.00000112815 * B40^3) - (0.000172362 * B40^2) + (0.00815264 * B40) + 0.327363)</f>
        <v>0.45011185440000001</v>
      </c>
      <c r="AE40" s="227">
        <f t="shared" si="62"/>
        <v>0.44368432086515835</v>
      </c>
      <c r="AF40" s="227">
        <f t="shared" si="63"/>
        <v>2.7745802692961608E-2</v>
      </c>
      <c r="AG40" s="227">
        <f t="shared" si="64"/>
        <v>6.2535008311447484</v>
      </c>
      <c r="AI40" s="228">
        <f t="shared" si="65"/>
        <v>4.4900121425558366</v>
      </c>
      <c r="AJ40" s="228">
        <f t="shared" si="66"/>
        <v>4.4900121425558366</v>
      </c>
      <c r="AK40" s="228">
        <f t="shared" si="67"/>
        <v>4.4900121425558366</v>
      </c>
      <c r="AL40" s="228">
        <f t="shared" si="68"/>
        <v>7.0665307670074018</v>
      </c>
      <c r="AM40" s="228">
        <f t="shared" si="69"/>
        <v>4.28</v>
      </c>
      <c r="AN40" s="228">
        <f t="shared" si="70"/>
        <v>5.1222492481716886</v>
      </c>
      <c r="AO40" s="228">
        <f t="shared" si="71"/>
        <v>4.6006462169805715</v>
      </c>
      <c r="AP40" s="228">
        <f t="shared" si="72"/>
        <v>4.9342089514038809</v>
      </c>
      <c r="AQ40" s="228">
        <f t="shared" si="73"/>
        <v>0.97581942859771076</v>
      </c>
      <c r="AR40" s="228">
        <f t="shared" si="74"/>
        <v>19.776613398588857</v>
      </c>
      <c r="AT40" s="229">
        <f t="shared" si="75"/>
        <v>1.4069037656903765</v>
      </c>
      <c r="AU40" s="229">
        <f t="shared" si="76"/>
        <v>1.47</v>
      </c>
      <c r="AV40" s="229">
        <f t="shared" si="77"/>
        <v>1.3559065618199697</v>
      </c>
      <c r="AW40" s="229">
        <f t="shared" si="78"/>
        <v>1.4069037656903765</v>
      </c>
      <c r="AX40" s="229">
        <f t="shared" si="79"/>
        <v>0.68031068553866003</v>
      </c>
      <c r="AY40" s="229">
        <f t="shared" si="80"/>
        <v>1.3</v>
      </c>
      <c r="AZ40" s="229">
        <f t="shared" si="81"/>
        <v>1.2999999989517466</v>
      </c>
      <c r="BA40" s="229">
        <f t="shared" si="82"/>
        <v>1.2585287579536633</v>
      </c>
      <c r="BB40" s="229">
        <f t="shared" si="83"/>
        <v>1.2723191919555989</v>
      </c>
      <c r="BC40" s="229">
        <f t="shared" si="84"/>
        <v>0.249137732186894</v>
      </c>
      <c r="BD40" s="229">
        <f t="shared" si="85"/>
        <v>19.581386004557601</v>
      </c>
      <c r="BF40" s="230">
        <f t="shared" si="86"/>
        <v>11.73</v>
      </c>
      <c r="BG40" s="230">
        <f t="shared" si="87"/>
        <v>6.27</v>
      </c>
      <c r="BH40" s="230">
        <f t="shared" si="88"/>
        <v>6.6146461536986028</v>
      </c>
      <c r="BI40" s="230">
        <f t="shared" si="192"/>
        <v>8.2048820512328664</v>
      </c>
      <c r="BJ40" s="230">
        <f t="shared" si="193"/>
        <v>3.057701368242979</v>
      </c>
      <c r="BK40" s="230">
        <f t="shared" si="89"/>
        <v>37.266853431287636</v>
      </c>
      <c r="BM40" s="227">
        <f t="shared" si="90"/>
        <v>31.73</v>
      </c>
      <c r="BN40" s="227">
        <f t="shared" si="91"/>
        <v>24.6039721652743</v>
      </c>
      <c r="BO40" s="227">
        <f t="shared" si="92"/>
        <v>22.731353137410739</v>
      </c>
      <c r="BP40" s="227">
        <f t="shared" si="93"/>
        <v>24.6039721652743</v>
      </c>
      <c r="BQ40" s="227">
        <f t="shared" si="94"/>
        <v>15.17</v>
      </c>
      <c r="BR40" s="227">
        <f t="shared" si="95"/>
        <v>22.594003414387952</v>
      </c>
      <c r="BS40" s="227">
        <f t="shared" si="96"/>
        <v>19.95</v>
      </c>
      <c r="BT40" s="227">
        <f t="shared" si="194"/>
        <v>23.054757268906751</v>
      </c>
      <c r="BU40" s="227">
        <f t="shared" si="195"/>
        <v>5.0362977352543954</v>
      </c>
      <c r="BV40" s="227">
        <f t="shared" si="97"/>
        <v>21.844939317781048</v>
      </c>
      <c r="BX40" s="231">
        <f t="shared" si="98"/>
        <v>0.33715239108972511</v>
      </c>
      <c r="BY40" s="231">
        <f t="shared" si="99"/>
        <v>0.30834206515315205</v>
      </c>
      <c r="BZ40" s="231">
        <f t="shared" si="100"/>
        <v>0.31962584974151209</v>
      </c>
      <c r="CA40" s="231">
        <f t="shared" si="101"/>
        <v>0.24</v>
      </c>
      <c r="CB40" s="231">
        <f t="shared" si="102"/>
        <v>0.36256642506090414</v>
      </c>
      <c r="CC40" s="231">
        <f t="shared" si="103"/>
        <v>0.31975759197032344</v>
      </c>
      <c r="CD40" s="231">
        <f t="shared" si="104"/>
        <v>0.48</v>
      </c>
      <c r="CE40" s="231">
        <f t="shared" si="105"/>
        <v>0.46535730455627627</v>
      </c>
      <c r="CF40" s="231">
        <f t="shared" si="106"/>
        <v>0.35410020344648663</v>
      </c>
      <c r="CG40" s="231">
        <f t="shared" si="107"/>
        <v>8.1124565809671978E-2</v>
      </c>
      <c r="CH40" s="231">
        <f t="shared" si="196"/>
        <v>22.910059079345295</v>
      </c>
      <c r="CJ40" s="232">
        <f t="shared" si="108"/>
        <v>1.5067504010977006</v>
      </c>
      <c r="CK40" s="232">
        <f t="shared" si="109"/>
        <v>1.5067504010977006</v>
      </c>
      <c r="CL40" s="232">
        <f t="shared" si="110"/>
        <v>2.1</v>
      </c>
      <c r="CM40" s="232">
        <f t="shared" si="111"/>
        <v>1.8504658518883976</v>
      </c>
      <c r="CN40" s="232">
        <f t="shared" si="112"/>
        <v>1.8906874895313157</v>
      </c>
      <c r="CO40" s="232">
        <f t="shared" si="113"/>
        <v>1.5111862587892255</v>
      </c>
      <c r="CP40" s="232">
        <f t="shared" si="114"/>
        <v>1.5076994892402977</v>
      </c>
      <c r="CQ40" s="232">
        <f t="shared" si="115"/>
        <v>1.8499731567049456</v>
      </c>
      <c r="CR40" s="232">
        <f t="shared" si="116"/>
        <v>3.948072112821563</v>
      </c>
      <c r="CS40" s="232">
        <f t="shared" si="117"/>
        <v>1.41</v>
      </c>
      <c r="CT40" s="232">
        <f t="shared" si="118"/>
        <v>1.4211854294359672</v>
      </c>
      <c r="CU40" s="232">
        <f t="shared" si="119"/>
        <v>1.8638882355097375</v>
      </c>
      <c r="CV40" s="232">
        <f t="shared" si="120"/>
        <v>0.72863073413917412</v>
      </c>
      <c r="CW40" s="232">
        <f t="shared" si="197"/>
        <v>39.091975594765621</v>
      </c>
      <c r="CY40" s="229">
        <f t="shared" si="198"/>
        <v>1.19</v>
      </c>
      <c r="CZ40" s="229">
        <f t="shared" si="199"/>
        <v>0.72188310757262686</v>
      </c>
      <c r="DA40" s="229">
        <f t="shared" si="200"/>
        <v>0.53275936348546737</v>
      </c>
      <c r="DB40" s="229">
        <f t="shared" si="201"/>
        <v>1.1831943055956402</v>
      </c>
      <c r="DC40" s="229">
        <f t="shared" si="202"/>
        <v>0.57999999999999996</v>
      </c>
      <c r="DD40" s="229">
        <f t="shared" si="203"/>
        <v>0.55162684211079727</v>
      </c>
      <c r="DE40" s="229">
        <f t="shared" si="204"/>
        <v>0.8</v>
      </c>
      <c r="DF40" s="229">
        <f t="shared" si="205"/>
        <v>0.79420908839493298</v>
      </c>
      <c r="DG40" s="229">
        <f t="shared" si="206"/>
        <v>0.28469637788571034</v>
      </c>
      <c r="DH40" s="229">
        <f t="shared" si="207"/>
        <v>35.846527324570296</v>
      </c>
      <c r="DJ40" s="234">
        <f t="shared" si="121"/>
        <v>0.11662967518913998</v>
      </c>
      <c r="DK40" s="234">
        <f t="shared" si="122"/>
        <v>0.15760766917451349</v>
      </c>
      <c r="DL40" s="234">
        <f t="shared" si="123"/>
        <v>0.11717533797916918</v>
      </c>
      <c r="DM40" s="234">
        <f t="shared" si="208"/>
        <v>0.13047089411427423</v>
      </c>
      <c r="DN40" s="234">
        <f t="shared" si="209"/>
        <v>2.3502720214320309E-2</v>
      </c>
      <c r="DO40" s="234">
        <f t="shared" si="210"/>
        <v>18.013764965644537</v>
      </c>
      <c r="DQ40" s="229">
        <f t="shared" si="124"/>
        <v>3.49</v>
      </c>
      <c r="DR40" s="229">
        <f t="shared" si="125"/>
        <v>3.842462240210998</v>
      </c>
      <c r="DS40" s="229">
        <f t="shared" si="126"/>
        <v>3.0094088289470333</v>
      </c>
      <c r="DT40" s="229">
        <f t="shared" si="127"/>
        <v>2.6346303539683418</v>
      </c>
      <c r="DU40" s="229">
        <f t="shared" si="128"/>
        <v>3.842462240210998</v>
      </c>
      <c r="DV40" s="229">
        <f t="shared" si="129"/>
        <v>1.97</v>
      </c>
      <c r="DW40" s="229">
        <f t="shared" si="130"/>
        <v>1.3788</v>
      </c>
      <c r="DX40" s="229">
        <f t="shared" si="131"/>
        <v>3.4922147100518752</v>
      </c>
      <c r="DY40" s="229">
        <f t="shared" si="211"/>
        <v>2.9574972966736555</v>
      </c>
      <c r="DZ40" s="229">
        <f t="shared" si="212"/>
        <v>0.90318339216171473</v>
      </c>
      <c r="EA40" s="229">
        <f t="shared" si="213"/>
        <v>30.538773211307397</v>
      </c>
      <c r="EC40" s="235">
        <f t="shared" si="132"/>
        <v>0.21127801690693868</v>
      </c>
      <c r="ED40" s="235">
        <f t="shared" si="133"/>
        <v>0.15</v>
      </c>
      <c r="EE40" s="235">
        <f t="shared" si="134"/>
        <v>0.17336843609196484</v>
      </c>
      <c r="EF40" s="235">
        <f t="shared" si="135"/>
        <v>0.14721208956762233</v>
      </c>
      <c r="EG40" s="235">
        <f t="shared" si="136"/>
        <v>0.17046463564163145</v>
      </c>
      <c r="EH40" s="235">
        <f t="shared" si="137"/>
        <v>2.9629075574685929E-2</v>
      </c>
      <c r="EI40" s="235">
        <f t="shared" si="214"/>
        <v>17.381362100802694</v>
      </c>
      <c r="EK40" s="236">
        <f t="shared" si="138"/>
        <v>20.705381659388649</v>
      </c>
      <c r="EL40" s="236">
        <f t="shared" si="139"/>
        <v>29.16233033919621</v>
      </c>
      <c r="EM40" s="236">
        <f t="shared" si="140"/>
        <v>29.787875729516045</v>
      </c>
      <c r="EN40" s="236">
        <f t="shared" si="141"/>
        <v>14.4</v>
      </c>
      <c r="EO40" s="236">
        <f t="shared" si="142"/>
        <v>28.601903040122323</v>
      </c>
      <c r="EP40" s="236">
        <f t="shared" si="143"/>
        <v>29.787875729516045</v>
      </c>
      <c r="EQ40" s="236">
        <f t="shared" si="144"/>
        <v>32.101184860173085</v>
      </c>
      <c r="ER40" s="236">
        <f t="shared" si="145"/>
        <v>26.363793051130333</v>
      </c>
      <c r="ES40" s="236">
        <f t="shared" si="146"/>
        <v>6.3817090196814501</v>
      </c>
      <c r="ET40" s="236">
        <f t="shared" si="215"/>
        <v>24.206338622460997</v>
      </c>
      <c r="EV40" s="238">
        <f t="shared" si="147"/>
        <v>1.576076691745135E-2</v>
      </c>
      <c r="EW40" s="238">
        <f t="shared" si="148"/>
        <v>1.576076691745135E-2</v>
      </c>
      <c r="EX40" s="238" t="e">
        <f t="shared" si="149"/>
        <v>#DIV/0!</v>
      </c>
      <c r="EY40" s="238" t="e">
        <f t="shared" si="216"/>
        <v>#DIV/0!</v>
      </c>
      <c r="FA40" s="240">
        <f t="shared" si="150"/>
        <v>0.48858377444099182</v>
      </c>
      <c r="FB40" s="240">
        <f t="shared" si="151"/>
        <v>0.65643594211184875</v>
      </c>
      <c r="FC40" s="240">
        <f t="shared" si="152"/>
        <v>0.57250985827642031</v>
      </c>
      <c r="FD40" s="240">
        <f t="shared" si="153"/>
        <v>0.11868940599692386</v>
      </c>
      <c r="FE40" s="240">
        <f t="shared" si="217"/>
        <v>20.731416984547018</v>
      </c>
      <c r="FG40" s="236">
        <f t="shared" si="154"/>
        <v>1.2</v>
      </c>
      <c r="FH40" s="236">
        <f t="shared" si="155"/>
        <v>1.3904182702125754</v>
      </c>
      <c r="FI40" s="236">
        <f t="shared" si="156"/>
        <v>1.3002632706897364</v>
      </c>
      <c r="FJ40" s="236">
        <f t="shared" si="157"/>
        <v>0.92</v>
      </c>
      <c r="FK40" s="236">
        <f t="shared" si="158"/>
        <v>1.2608613533961079</v>
      </c>
      <c r="FL40" s="236">
        <f t="shared" si="159"/>
        <v>0.9</v>
      </c>
      <c r="FM40" s="236">
        <f t="shared" si="160"/>
        <v>1.1619238157164034</v>
      </c>
      <c r="FN40" s="236">
        <f t="shared" si="161"/>
        <v>0.20480096218512583</v>
      </c>
      <c r="FO40" s="236">
        <f t="shared" si="218"/>
        <v>17.626023274069173</v>
      </c>
      <c r="FQ40" s="227">
        <f t="shared" si="162"/>
        <v>0.32</v>
      </c>
      <c r="FR40" s="227">
        <f t="shared" si="163"/>
        <v>0.34985509483937244</v>
      </c>
      <c r="FS40" s="227">
        <f t="shared" si="164"/>
        <v>0.34985509483937244</v>
      </c>
      <c r="FT40" s="227">
        <f t="shared" si="165"/>
        <v>0.24</v>
      </c>
      <c r="FU40" s="227">
        <f t="shared" si="166"/>
        <v>0.32837557872509882</v>
      </c>
      <c r="FV40" s="227">
        <f t="shared" si="219"/>
        <v>0.3176171536807687</v>
      </c>
      <c r="FW40" s="227">
        <f t="shared" si="220"/>
        <v>4.534427723486955E-2</v>
      </c>
      <c r="FX40" s="227">
        <f t="shared" si="221"/>
        <v>14.2763943034526</v>
      </c>
      <c r="FZ40" s="230">
        <f t="shared" si="167"/>
        <v>1.6548805263323918</v>
      </c>
      <c r="GA40" s="230">
        <f t="shared" si="168"/>
        <v>2.4700000000000002</v>
      </c>
      <c r="GB40" s="230">
        <f t="shared" si="169"/>
        <v>3.5277904125347419</v>
      </c>
      <c r="GC40" s="230">
        <f t="shared" si="170"/>
        <v>2.5508903129557114</v>
      </c>
      <c r="GD40" s="230">
        <f t="shared" si="171"/>
        <v>0.93907150553415208</v>
      </c>
      <c r="GE40" s="230">
        <f t="shared" si="222"/>
        <v>36.813480405829438</v>
      </c>
      <c r="GG40" s="231">
        <f t="shared" si="172"/>
        <v>0.11032536842215944</v>
      </c>
      <c r="GH40" s="231">
        <f t="shared" si="173"/>
        <v>0.05</v>
      </c>
      <c r="GI40" s="231">
        <f t="shared" si="174"/>
        <v>0.05</v>
      </c>
      <c r="GJ40" s="231">
        <f t="shared" si="175"/>
        <v>0.12230355127942247</v>
      </c>
      <c r="GK40" s="245">
        <f t="shared" si="186"/>
        <v>7.4101183759807496E-2</v>
      </c>
      <c r="GL40" s="231">
        <f t="shared" si="187"/>
        <v>4.1744474794540458E-2</v>
      </c>
      <c r="GM40" s="231">
        <f t="shared" si="223"/>
        <v>56.33442365759165</v>
      </c>
      <c r="GO40" s="246">
        <f t="shared" si="176"/>
        <v>0.18</v>
      </c>
      <c r="GP40" s="246">
        <f t="shared" si="177"/>
        <v>0.1812488195506905</v>
      </c>
      <c r="GQ40" s="247">
        <f t="shared" si="188"/>
        <v>0.18062440977534525</v>
      </c>
      <c r="GR40" s="246">
        <f t="shared" si="189"/>
        <v>8.8304877277159378E-4</v>
      </c>
      <c r="GS40" s="246">
        <f t="shared" si="224"/>
        <v>0.4888867312396486</v>
      </c>
      <c r="GU40" s="249">
        <f t="shared" si="178"/>
        <v>2.2325126338569836E-2</v>
      </c>
      <c r="GV40" s="249">
        <f t="shared" si="179"/>
        <v>2.2325126338569836E-2</v>
      </c>
      <c r="GW40" s="249" t="e">
        <f t="shared" si="180"/>
        <v>#DIV/0!</v>
      </c>
      <c r="GX40" s="249" t="e">
        <f t="shared" si="225"/>
        <v>#DIV/0!</v>
      </c>
      <c r="GZ40" s="240">
        <f t="shared" si="181"/>
        <v>2.3641150376177027E-2</v>
      </c>
      <c r="HA40" s="240">
        <f t="shared" si="182"/>
        <v>2.3641150376177027E-2</v>
      </c>
      <c r="HB40" s="240" t="e">
        <f t="shared" si="183"/>
        <v>#DIV/0!</v>
      </c>
      <c r="HC40" s="240" t="e">
        <f t="shared" si="226"/>
        <v>#DIV/0!</v>
      </c>
      <c r="HE40" s="234">
        <f t="shared" si="184"/>
        <v>9.3346363158835516E-2</v>
      </c>
      <c r="HF40" s="234">
        <f t="shared" si="185"/>
        <v>9.3346363158835516E-2</v>
      </c>
      <c r="HG40" s="251">
        <f t="shared" si="190"/>
        <v>9.3346363158835516E-2</v>
      </c>
      <c r="HH40" s="234">
        <f t="shared" si="191"/>
        <v>0</v>
      </c>
      <c r="HI40" s="234">
        <f t="shared" si="227"/>
        <v>0</v>
      </c>
    </row>
    <row r="41" spans="2:217" ht="15.6" x14ac:dyDescent="0.25">
      <c r="B41">
        <v>37</v>
      </c>
      <c r="C41" s="124">
        <f t="shared" si="38"/>
        <v>78.969641516015145</v>
      </c>
      <c r="D41" s="124">
        <f t="shared" si="39"/>
        <v>176.56058284904987</v>
      </c>
      <c r="E41" s="29">
        <f t="shared" si="40"/>
        <v>2.1712694147762455</v>
      </c>
      <c r="F41" s="29">
        <f t="shared" si="41"/>
        <v>1.9790146636126995</v>
      </c>
      <c r="G41" s="29">
        <f t="shared" si="42"/>
        <v>1.9578745717868682</v>
      </c>
      <c r="H41" s="29">
        <f t="shared" si="43"/>
        <v>1.9781725297132899</v>
      </c>
      <c r="I41" s="29">
        <f t="shared" si="44"/>
        <v>2.003412393432455</v>
      </c>
      <c r="J41" s="29">
        <f t="shared" si="45"/>
        <v>1.9781725297132899</v>
      </c>
      <c r="K41" s="29">
        <f t="shared" si="46"/>
        <v>1.968002790016665</v>
      </c>
      <c r="L41" s="125">
        <f t="shared" si="0"/>
        <v>2.005131270435931</v>
      </c>
      <c r="M41" s="126">
        <f t="shared" si="1"/>
        <v>7.45566694122764E-2</v>
      </c>
      <c r="N41" s="126">
        <f t="shared" si="47"/>
        <v>3.7182936853838604</v>
      </c>
      <c r="P41" s="138">
        <f t="shared" si="48"/>
        <v>421.07756679154545</v>
      </c>
      <c r="Q41" s="138">
        <f t="shared" si="49"/>
        <v>325.79239999999999</v>
      </c>
      <c r="R41" s="138">
        <f t="shared" si="50"/>
        <v>421.07756679154545</v>
      </c>
      <c r="S41" s="138">
        <f t="shared" si="51"/>
        <v>404.95527423148997</v>
      </c>
      <c r="T41" s="138">
        <f t="shared" si="52"/>
        <v>457.45028519126038</v>
      </c>
      <c r="U41" s="138">
        <f t="shared" si="53"/>
        <v>421.07756679154545</v>
      </c>
      <c r="V41" s="138">
        <f t="shared" si="54"/>
        <v>307.44821999999999</v>
      </c>
      <c r="W41" s="138">
        <f t="shared" si="55"/>
        <v>394.12555425676953</v>
      </c>
      <c r="X41" s="138">
        <f t="shared" si="56"/>
        <v>55.511136369531059</v>
      </c>
      <c r="Y41" s="138">
        <f t="shared" si="57"/>
        <v>14.084632617697764</v>
      </c>
      <c r="AA41" s="227">
        <f t="shared" si="228"/>
        <v>0.45019128395000002</v>
      </c>
      <c r="AB41" s="227">
        <f t="shared" si="229"/>
        <v>0.40480088495575217</v>
      </c>
      <c r="AC41" s="227">
        <f t="shared" si="230"/>
        <v>0.47</v>
      </c>
      <c r="AD41" s="227">
        <f t="shared" si="231"/>
        <v>0.45019128395000002</v>
      </c>
      <c r="AE41" s="227">
        <f t="shared" si="62"/>
        <v>0.44379586321393805</v>
      </c>
      <c r="AF41" s="227">
        <f t="shared" si="63"/>
        <v>2.7622864483621393E-2</v>
      </c>
      <c r="AG41" s="227">
        <f t="shared" si="64"/>
        <v>6.2242275724650913</v>
      </c>
      <c r="AI41" s="228">
        <f t="shared" si="65"/>
        <v>4.4869263712619274</v>
      </c>
      <c r="AJ41" s="228">
        <f t="shared" si="66"/>
        <v>4.4869263712619274</v>
      </c>
      <c r="AK41" s="228">
        <f t="shared" si="67"/>
        <v>4.4869263712619274</v>
      </c>
      <c r="AL41" s="228">
        <f t="shared" si="68"/>
        <v>7.081394494564063</v>
      </c>
      <c r="AM41" s="228">
        <f t="shared" si="69"/>
        <v>4.28</v>
      </c>
      <c r="AN41" s="228">
        <f t="shared" si="70"/>
        <v>5.1330266985409843</v>
      </c>
      <c r="AO41" s="228">
        <f t="shared" si="71"/>
        <v>4.5977822446788457</v>
      </c>
      <c r="AP41" s="228">
        <f t="shared" si="72"/>
        <v>4.9361403645099537</v>
      </c>
      <c r="AQ41" s="228">
        <f t="shared" si="73"/>
        <v>0.98245148662472159</v>
      </c>
      <c r="AR41" s="228">
        <f t="shared" si="74"/>
        <v>19.903232365278505</v>
      </c>
      <c r="AT41" s="229">
        <f t="shared" si="75"/>
        <v>1.4079006942348322</v>
      </c>
      <c r="AU41" s="229">
        <f t="shared" si="76"/>
        <v>1.47</v>
      </c>
      <c r="AV41" s="229">
        <f t="shared" si="77"/>
        <v>1.3514656798447682</v>
      </c>
      <c r="AW41" s="229">
        <f t="shared" si="78"/>
        <v>1.4079006942348322</v>
      </c>
      <c r="AX41" s="229">
        <f t="shared" si="79"/>
        <v>0.69812208111733021</v>
      </c>
      <c r="AY41" s="229">
        <f t="shared" si="80"/>
        <v>1.3</v>
      </c>
      <c r="AZ41" s="229">
        <f t="shared" si="81"/>
        <v>1.2999999994089617</v>
      </c>
      <c r="BA41" s="229">
        <f t="shared" si="82"/>
        <v>1.2565295069718017</v>
      </c>
      <c r="BB41" s="229">
        <f t="shared" si="83"/>
        <v>1.2739898319765657</v>
      </c>
      <c r="BC41" s="229">
        <f t="shared" si="84"/>
        <v>0.24306622205022738</v>
      </c>
      <c r="BD41" s="229">
        <f t="shared" si="85"/>
        <v>19.079133596625002</v>
      </c>
      <c r="BF41" s="230">
        <f t="shared" si="86"/>
        <v>11.73</v>
      </c>
      <c r="BG41" s="230">
        <f t="shared" si="87"/>
        <v>6.27</v>
      </c>
      <c r="BH41" s="230">
        <f t="shared" si="88"/>
        <v>6.614646153791873</v>
      </c>
      <c r="BI41" s="230">
        <f t="shared" si="192"/>
        <v>8.204882051263958</v>
      </c>
      <c r="BJ41" s="230">
        <f t="shared" si="193"/>
        <v>3.0577013682187189</v>
      </c>
      <c r="BK41" s="230">
        <f t="shared" si="89"/>
        <v>37.266853430850738</v>
      </c>
      <c r="BM41" s="227">
        <f t="shared" si="90"/>
        <v>31.73</v>
      </c>
      <c r="BN41" s="227">
        <f t="shared" si="91"/>
        <v>24.582951643188437</v>
      </c>
      <c r="BO41" s="227">
        <f t="shared" si="92"/>
        <v>22.7471978277581</v>
      </c>
      <c r="BP41" s="227">
        <f t="shared" si="93"/>
        <v>24.582951643188437</v>
      </c>
      <c r="BQ41" s="227">
        <f t="shared" si="94"/>
        <v>15.17</v>
      </c>
      <c r="BR41" s="227">
        <f t="shared" si="95"/>
        <v>22.570229448879527</v>
      </c>
      <c r="BS41" s="227">
        <f t="shared" si="96"/>
        <v>19.95</v>
      </c>
      <c r="BT41" s="227">
        <f t="shared" si="194"/>
        <v>23.047618651859214</v>
      </c>
      <c r="BU41" s="227">
        <f t="shared" si="195"/>
        <v>5.0343571374144034</v>
      </c>
      <c r="BV41" s="227">
        <f t="shared" si="97"/>
        <v>21.843285475431493</v>
      </c>
      <c r="BX41" s="231">
        <f t="shared" si="98"/>
        <v>0.33644806629020846</v>
      </c>
      <c r="BY41" s="231">
        <f t="shared" si="99"/>
        <v>0.30852859618348716</v>
      </c>
      <c r="BZ41" s="231">
        <f t="shared" si="100"/>
        <v>0.32011031289212355</v>
      </c>
      <c r="CA41" s="231">
        <f t="shared" si="101"/>
        <v>0.24</v>
      </c>
      <c r="CB41" s="231">
        <f t="shared" si="102"/>
        <v>0.36331561385632566</v>
      </c>
      <c r="CC41" s="231">
        <f t="shared" si="103"/>
        <v>0.31905741283697786</v>
      </c>
      <c r="CD41" s="231">
        <f t="shared" si="104"/>
        <v>0.48</v>
      </c>
      <c r="CE41" s="231">
        <f t="shared" si="105"/>
        <v>0.46312501042974008</v>
      </c>
      <c r="CF41" s="231">
        <f t="shared" si="106"/>
        <v>0.35382312656110787</v>
      </c>
      <c r="CG41" s="231">
        <f t="shared" si="107"/>
        <v>8.0721755361962994E-2</v>
      </c>
      <c r="CH41" s="231">
        <f t="shared" si="196"/>
        <v>22.814154672849444</v>
      </c>
      <c r="CJ41" s="232">
        <f t="shared" si="108"/>
        <v>1.5057302559633432</v>
      </c>
      <c r="CK41" s="232">
        <f t="shared" si="109"/>
        <v>1.5057302559633432</v>
      </c>
      <c r="CL41" s="232">
        <f t="shared" si="110"/>
        <v>2.1</v>
      </c>
      <c r="CM41" s="232">
        <f t="shared" si="111"/>
        <v>1.8527092824363207</v>
      </c>
      <c r="CN41" s="232">
        <f t="shared" si="112"/>
        <v>1.8918786490441621</v>
      </c>
      <c r="CO41" s="232">
        <f t="shared" si="113"/>
        <v>1.513665778024488</v>
      </c>
      <c r="CP41" s="232">
        <f t="shared" si="114"/>
        <v>1.5066787015259548</v>
      </c>
      <c r="CQ41" s="232">
        <f t="shared" si="115"/>
        <v>1.8536948583643291</v>
      </c>
      <c r="CR41" s="232">
        <f t="shared" si="116"/>
        <v>3.9563790399523588</v>
      </c>
      <c r="CS41" s="232">
        <f t="shared" si="117"/>
        <v>1.41</v>
      </c>
      <c r="CT41" s="232">
        <f t="shared" si="118"/>
        <v>1.4185244571478488</v>
      </c>
      <c r="CU41" s="232">
        <f t="shared" si="119"/>
        <v>1.8649992071292865</v>
      </c>
      <c r="CV41" s="232">
        <f t="shared" si="120"/>
        <v>0.73119336808274726</v>
      </c>
      <c r="CW41" s="232">
        <f t="shared" si="197"/>
        <v>39.206095385329512</v>
      </c>
      <c r="CY41" s="229">
        <f t="shared" si="198"/>
        <v>1.19</v>
      </c>
      <c r="CZ41" s="229">
        <f t="shared" si="199"/>
        <v>0.72516367393638514</v>
      </c>
      <c r="DA41" s="229">
        <f t="shared" si="200"/>
        <v>0.53046914319951577</v>
      </c>
      <c r="DB41" s="229">
        <f t="shared" si="201"/>
        <v>1.1850880374047403</v>
      </c>
      <c r="DC41" s="229">
        <f t="shared" si="202"/>
        <v>0.57999999999999996</v>
      </c>
      <c r="DD41" s="229">
        <f t="shared" si="203"/>
        <v>0.55278749061210597</v>
      </c>
      <c r="DE41" s="229">
        <f t="shared" si="204"/>
        <v>0.8</v>
      </c>
      <c r="DF41" s="229">
        <f t="shared" si="205"/>
        <v>0.79478690645039241</v>
      </c>
      <c r="DG41" s="229">
        <f t="shared" si="206"/>
        <v>0.28517945969918024</v>
      </c>
      <c r="DH41" s="229">
        <f t="shared" si="207"/>
        <v>35.881247839477339</v>
      </c>
      <c r="DJ41" s="234">
        <f t="shared" si="121"/>
        <v>0.11687506944370241</v>
      </c>
      <c r="DK41" s="234">
        <f t="shared" si="122"/>
        <v>0.15793928303203028</v>
      </c>
      <c r="DL41" s="234">
        <f t="shared" si="123"/>
        <v>0.1169139288578924</v>
      </c>
      <c r="DM41" s="234">
        <f t="shared" si="208"/>
        <v>0.13057609377787505</v>
      </c>
      <c r="DN41" s="234">
        <f t="shared" si="209"/>
        <v>2.3697224988013788E-2</v>
      </c>
      <c r="DO41" s="234">
        <f t="shared" si="210"/>
        <v>18.148210979818018</v>
      </c>
      <c r="DQ41" s="229">
        <f t="shared" si="124"/>
        <v>3.49</v>
      </c>
      <c r="DR41" s="229">
        <f t="shared" si="125"/>
        <v>3.8402718877041213</v>
      </c>
      <c r="DS41" s="229">
        <f t="shared" si="126"/>
        <v>3.007696905653896</v>
      </c>
      <c r="DT41" s="229">
        <f t="shared" si="127"/>
        <v>2.6389831037696898</v>
      </c>
      <c r="DU41" s="229">
        <f t="shared" si="128"/>
        <v>3.8402718877041213</v>
      </c>
      <c r="DV41" s="229">
        <f t="shared" si="129"/>
        <v>1.97</v>
      </c>
      <c r="DW41" s="229">
        <f t="shared" si="130"/>
        <v>1.4171</v>
      </c>
      <c r="DX41" s="229">
        <f t="shared" si="131"/>
        <v>3.4856844352723777</v>
      </c>
      <c r="DY41" s="229">
        <f t="shared" si="211"/>
        <v>2.9612510275130259</v>
      </c>
      <c r="DZ41" s="229">
        <f t="shared" si="212"/>
        <v>0.89226485897786878</v>
      </c>
      <c r="EA41" s="229">
        <f t="shared" si="213"/>
        <v>30.13134822707778</v>
      </c>
      <c r="EC41" s="235">
        <f t="shared" si="132"/>
        <v>0.21164962368386184</v>
      </c>
      <c r="ED41" s="235">
        <f t="shared" si="133"/>
        <v>0.15</v>
      </c>
      <c r="EE41" s="235">
        <f t="shared" si="134"/>
        <v>0.17373321133523334</v>
      </c>
      <c r="EF41" s="235">
        <f t="shared" si="135"/>
        <v>0.14690578950616423</v>
      </c>
      <c r="EG41" s="235">
        <f t="shared" si="136"/>
        <v>0.17057215613131488</v>
      </c>
      <c r="EH41" s="235">
        <f t="shared" si="137"/>
        <v>2.9892368745550912E-2</v>
      </c>
      <c r="EI41" s="235">
        <f t="shared" si="214"/>
        <v>17.524764547467107</v>
      </c>
      <c r="EK41" s="236">
        <f t="shared" si="138"/>
        <v>20.705381659388649</v>
      </c>
      <c r="EL41" s="236">
        <f t="shared" si="139"/>
        <v>29.432146579709595</v>
      </c>
      <c r="EM41" s="236">
        <f t="shared" si="140"/>
        <v>30.063479652410209</v>
      </c>
      <c r="EN41" s="236">
        <f t="shared" si="141"/>
        <v>14.4</v>
      </c>
      <c r="EO41" s="236">
        <f t="shared" si="142"/>
        <v>28.774927351140395</v>
      </c>
      <c r="EP41" s="236">
        <f t="shared" si="143"/>
        <v>30.063479652410209</v>
      </c>
      <c r="EQ41" s="236">
        <f t="shared" si="144"/>
        <v>32.240856999362443</v>
      </c>
      <c r="ER41" s="236">
        <f t="shared" si="145"/>
        <v>26.5257531277745</v>
      </c>
      <c r="ES41" s="236">
        <f t="shared" si="146"/>
        <v>6.4821543579211705</v>
      </c>
      <c r="ET41" s="236">
        <f t="shared" si="215"/>
        <v>24.437211364731649</v>
      </c>
      <c r="EV41" s="238">
        <f t="shared" si="147"/>
        <v>1.5793928303203031E-2</v>
      </c>
      <c r="EW41" s="238">
        <f t="shared" si="148"/>
        <v>1.5793928303203031E-2</v>
      </c>
      <c r="EX41" s="238" t="e">
        <f t="shared" si="149"/>
        <v>#DIV/0!</v>
      </c>
      <c r="EY41" s="238" t="e">
        <f t="shared" si="216"/>
        <v>#DIV/0!</v>
      </c>
      <c r="FA41" s="240">
        <f t="shared" si="150"/>
        <v>0.4896117773992939</v>
      </c>
      <c r="FB41" s="240">
        <f t="shared" si="151"/>
        <v>0.65781711382840624</v>
      </c>
      <c r="FC41" s="240">
        <f t="shared" si="152"/>
        <v>0.5737144456138501</v>
      </c>
      <c r="FD41" s="240">
        <f t="shared" si="153"/>
        <v>0.11893913402078955</v>
      </c>
      <c r="FE41" s="240">
        <f t="shared" si="217"/>
        <v>20.731416984547028</v>
      </c>
      <c r="FG41" s="236">
        <f t="shared" si="154"/>
        <v>1.2</v>
      </c>
      <c r="FH41" s="236">
        <f t="shared" si="155"/>
        <v>1.389793314874761</v>
      </c>
      <c r="FI41" s="236">
        <f t="shared" si="156"/>
        <v>1.3029990850142499</v>
      </c>
      <c r="FJ41" s="236">
        <f t="shared" si="157"/>
        <v>0.92</v>
      </c>
      <c r="FK41" s="236">
        <f t="shared" si="158"/>
        <v>1.2635142642562422</v>
      </c>
      <c r="FL41" s="236">
        <f t="shared" si="159"/>
        <v>0.9</v>
      </c>
      <c r="FM41" s="236">
        <f t="shared" si="160"/>
        <v>1.1627177773575423</v>
      </c>
      <c r="FN41" s="236">
        <f t="shared" si="161"/>
        <v>0.20529227501197531</v>
      </c>
      <c r="FO41" s="236">
        <f t="shared" si="218"/>
        <v>17.656242900021194</v>
      </c>
      <c r="FQ41" s="227">
        <f t="shared" si="162"/>
        <v>0.32</v>
      </c>
      <c r="FR41" s="227">
        <f t="shared" si="163"/>
        <v>0.3491208604958338</v>
      </c>
      <c r="FS41" s="227">
        <f t="shared" si="164"/>
        <v>0.3491208604958338</v>
      </c>
      <c r="FT41" s="227">
        <f t="shared" si="165"/>
        <v>0.24</v>
      </c>
      <c r="FU41" s="227">
        <f t="shared" si="166"/>
        <v>0.3290664961972351</v>
      </c>
      <c r="FV41" s="227">
        <f t="shared" si="219"/>
        <v>0.31746164343778055</v>
      </c>
      <c r="FW41" s="227">
        <f t="shared" si="220"/>
        <v>4.512769137443564E-2</v>
      </c>
      <c r="FX41" s="227">
        <f t="shared" si="221"/>
        <v>14.215163408640338</v>
      </c>
      <c r="FZ41" s="230">
        <f t="shared" si="167"/>
        <v>1.6583624718363181</v>
      </c>
      <c r="GA41" s="230">
        <f t="shared" si="168"/>
        <v>2.4700000000000002</v>
      </c>
      <c r="GB41" s="230">
        <f t="shared" si="169"/>
        <v>3.5375553905215251</v>
      </c>
      <c r="GC41" s="230">
        <f t="shared" si="170"/>
        <v>2.5553059541192815</v>
      </c>
      <c r="GD41" s="230">
        <f t="shared" si="171"/>
        <v>0.94249633196384652</v>
      </c>
      <c r="GE41" s="230">
        <f t="shared" si="222"/>
        <v>36.883893705350431</v>
      </c>
      <c r="GG41" s="231">
        <f t="shared" si="172"/>
        <v>0.1105574981224212</v>
      </c>
      <c r="GH41" s="231">
        <f t="shared" si="173"/>
        <v>0.05</v>
      </c>
      <c r="GI41" s="231">
        <f t="shared" si="174"/>
        <v>0.05</v>
      </c>
      <c r="GJ41" s="231">
        <f t="shared" si="175"/>
        <v>0.1225608836328555</v>
      </c>
      <c r="GK41" s="245">
        <f t="shared" si="186"/>
        <v>7.4186961210951835E-2</v>
      </c>
      <c r="GL41" s="231">
        <f t="shared" si="187"/>
        <v>4.1893045698066227E-2</v>
      </c>
      <c r="GM41" s="231">
        <f t="shared" si="223"/>
        <v>56.469553428590594</v>
      </c>
      <c r="GO41" s="246">
        <f t="shared" si="176"/>
        <v>0.18</v>
      </c>
      <c r="GP41" s="246">
        <f t="shared" si="177"/>
        <v>0.18163017548683483</v>
      </c>
      <c r="GQ41" s="247">
        <f t="shared" si="188"/>
        <v>0.18081508774341742</v>
      </c>
      <c r="GR41" s="246">
        <f t="shared" si="189"/>
        <v>1.1527081412649927E-3</v>
      </c>
      <c r="GS41" s="246">
        <f t="shared" si="224"/>
        <v>0.63750661277820109</v>
      </c>
      <c r="GU41" s="249">
        <f t="shared" si="178"/>
        <v>2.2372099441487089E-2</v>
      </c>
      <c r="GV41" s="249">
        <f t="shared" si="179"/>
        <v>2.2372099441487089E-2</v>
      </c>
      <c r="GW41" s="249" t="e">
        <f t="shared" si="180"/>
        <v>#DIV/0!</v>
      </c>
      <c r="GX41" s="249" t="e">
        <f t="shared" si="225"/>
        <v>#DIV/0!</v>
      </c>
      <c r="GZ41" s="240">
        <f t="shared" si="181"/>
        <v>2.3690892454804546E-2</v>
      </c>
      <c r="HA41" s="240">
        <f t="shared" si="182"/>
        <v>2.3690892454804546E-2</v>
      </c>
      <c r="HB41" s="240" t="e">
        <f t="shared" si="183"/>
        <v>#DIV/0!</v>
      </c>
      <c r="HC41" s="240" t="e">
        <f t="shared" si="226"/>
        <v>#DIV/0!</v>
      </c>
      <c r="HE41" s="234">
        <f t="shared" si="184"/>
        <v>9.3543673404058003E-2</v>
      </c>
      <c r="HF41" s="234">
        <f t="shared" si="185"/>
        <v>9.3543673404058003E-2</v>
      </c>
      <c r="HG41" s="251">
        <f t="shared" si="190"/>
        <v>9.3543673404058003E-2</v>
      </c>
      <c r="HH41" s="234">
        <f t="shared" si="191"/>
        <v>0</v>
      </c>
      <c r="HI41" s="234">
        <f t="shared" si="227"/>
        <v>0</v>
      </c>
    </row>
    <row r="42" spans="2:217" ht="15.6" x14ac:dyDescent="0.25">
      <c r="B42">
        <v>38</v>
      </c>
      <c r="C42" s="124">
        <f t="shared" si="38"/>
        <v>79.142673536688449</v>
      </c>
      <c r="D42" s="124">
        <f t="shared" si="39"/>
        <v>176.02439347573147</v>
      </c>
      <c r="E42" s="29">
        <f t="shared" si="40"/>
        <v>2.1698318487963886</v>
      </c>
      <c r="F42" s="29">
        <f t="shared" si="41"/>
        <v>1.9787053457644059</v>
      </c>
      <c r="G42" s="29">
        <f t="shared" si="42"/>
        <v>1.9553801379344884</v>
      </c>
      <c r="H42" s="29">
        <f t="shared" si="43"/>
        <v>1.9778633434896125</v>
      </c>
      <c r="I42" s="29">
        <f t="shared" si="44"/>
        <v>2.0031333684565338</v>
      </c>
      <c r="J42" s="29">
        <f t="shared" si="45"/>
        <v>1.9778633434896125</v>
      </c>
      <c r="K42" s="29">
        <f t="shared" si="46"/>
        <v>1.9671638571630794</v>
      </c>
      <c r="L42" s="125">
        <f t="shared" si="0"/>
        <v>2.0042773207277316</v>
      </c>
      <c r="M42" s="126">
        <f t="shared" si="1"/>
        <v>7.4416929463117718E-2</v>
      </c>
      <c r="N42" s="126">
        <f t="shared" si="47"/>
        <v>3.7129058286254382</v>
      </c>
      <c r="P42" s="138">
        <f t="shared" si="48"/>
        <v>420.89823735282368</v>
      </c>
      <c r="Q42" s="138">
        <f t="shared" si="49"/>
        <v>325.79239999999999</v>
      </c>
      <c r="R42" s="138">
        <f t="shared" si="50"/>
        <v>420.89823735282368</v>
      </c>
      <c r="S42" s="138">
        <f t="shared" si="51"/>
        <v>402.82469150058944</v>
      </c>
      <c r="T42" s="138">
        <f t="shared" si="52"/>
        <v>458.2334178157933</v>
      </c>
      <c r="U42" s="138">
        <f t="shared" si="53"/>
        <v>420.89823735282368</v>
      </c>
      <c r="V42" s="138">
        <f t="shared" si="54"/>
        <v>304.88472000000002</v>
      </c>
      <c r="W42" s="138">
        <f t="shared" si="55"/>
        <v>393.4899916249791</v>
      </c>
      <c r="X42" s="138">
        <f t="shared" si="56"/>
        <v>56.223277696884438</v>
      </c>
      <c r="Y42" s="138">
        <f t="shared" si="57"/>
        <v>14.28836282841694</v>
      </c>
      <c r="AA42" s="227">
        <f t="shared" si="228"/>
        <v>0.45017643880000002</v>
      </c>
      <c r="AB42" s="227">
        <f t="shared" si="229"/>
        <v>0.40507575757575753</v>
      </c>
      <c r="AC42" s="227">
        <f t="shared" si="230"/>
        <v>0.47</v>
      </c>
      <c r="AD42" s="227">
        <f t="shared" si="231"/>
        <v>0.45017643880000002</v>
      </c>
      <c r="AE42" s="227">
        <f t="shared" si="62"/>
        <v>0.44385715879393939</v>
      </c>
      <c r="AF42" s="227">
        <f t="shared" si="63"/>
        <v>2.749128241437572E-2</v>
      </c>
      <c r="AG42" s="227">
        <f t="shared" si="64"/>
        <v>6.1937228835231073</v>
      </c>
      <c r="AI42" s="228">
        <f t="shared" si="65"/>
        <v>4.4846177217674272</v>
      </c>
      <c r="AJ42" s="228">
        <f t="shared" si="66"/>
        <v>4.4846177217674272</v>
      </c>
      <c r="AK42" s="228">
        <f t="shared" si="67"/>
        <v>4.4846177217674272</v>
      </c>
      <c r="AL42" s="228">
        <f t="shared" si="68"/>
        <v>7.096905893467544</v>
      </c>
      <c r="AM42" s="228">
        <f t="shared" si="69"/>
        <v>4.28</v>
      </c>
      <c r="AN42" s="228">
        <f t="shared" si="70"/>
        <v>5.1442737798847498</v>
      </c>
      <c r="AO42" s="228">
        <f t="shared" si="71"/>
        <v>4.5956393142790244</v>
      </c>
      <c r="AP42" s="228">
        <f t="shared" si="72"/>
        <v>4.9386674504190848</v>
      </c>
      <c r="AQ42" s="228">
        <f t="shared" si="73"/>
        <v>0.98912939164195168</v>
      </c>
      <c r="AR42" s="228">
        <f t="shared" si="74"/>
        <v>20.028264740887064</v>
      </c>
      <c r="AT42" s="229">
        <f t="shared" si="75"/>
        <v>1.4088468892484189</v>
      </c>
      <c r="AU42" s="229">
        <f t="shared" si="76"/>
        <v>1.47</v>
      </c>
      <c r="AV42" s="229">
        <f t="shared" si="77"/>
        <v>1.3472586767405796</v>
      </c>
      <c r="AW42" s="229">
        <f t="shared" si="78"/>
        <v>1.4088468892484189</v>
      </c>
      <c r="AX42" s="229">
        <f t="shared" si="79"/>
        <v>0.71583594344773449</v>
      </c>
      <c r="AY42" s="229">
        <f t="shared" si="80"/>
        <v>1.3</v>
      </c>
      <c r="AZ42" s="229">
        <f t="shared" si="81"/>
        <v>1.2999999996667542</v>
      </c>
      <c r="BA42" s="229">
        <f t="shared" si="82"/>
        <v>1.2545334319241113</v>
      </c>
      <c r="BB42" s="229">
        <f t="shared" si="83"/>
        <v>1.2756652287845021</v>
      </c>
      <c r="BC42" s="229">
        <f t="shared" si="84"/>
        <v>0.23706722319228365</v>
      </c>
      <c r="BD42" s="229">
        <f t="shared" si="85"/>
        <v>18.583811633571727</v>
      </c>
      <c r="BF42" s="230">
        <f t="shared" si="86"/>
        <v>11.73</v>
      </c>
      <c r="BG42" s="230">
        <f t="shared" si="87"/>
        <v>6.27</v>
      </c>
      <c r="BH42" s="230">
        <f t="shared" si="88"/>
        <v>6.6146461538261851</v>
      </c>
      <c r="BI42" s="230">
        <f t="shared" si="192"/>
        <v>8.2048820512753959</v>
      </c>
      <c r="BJ42" s="230">
        <f t="shared" si="193"/>
        <v>3.0577013682097953</v>
      </c>
      <c r="BK42" s="230">
        <f t="shared" si="89"/>
        <v>37.266853430690027</v>
      </c>
      <c r="BM42" s="227">
        <f t="shared" si="90"/>
        <v>31.73</v>
      </c>
      <c r="BN42" s="227">
        <f t="shared" si="91"/>
        <v>24.56685224985214</v>
      </c>
      <c r="BO42" s="227">
        <f t="shared" si="92"/>
        <v>22.763643978907464</v>
      </c>
      <c r="BP42" s="227">
        <f t="shared" si="93"/>
        <v>24.56685224985214</v>
      </c>
      <c r="BQ42" s="227">
        <f t="shared" si="94"/>
        <v>15.17</v>
      </c>
      <c r="BR42" s="227">
        <f t="shared" si="95"/>
        <v>22.542375606542176</v>
      </c>
      <c r="BS42" s="227">
        <f t="shared" si="96"/>
        <v>19.95</v>
      </c>
      <c r="BT42" s="227">
        <f t="shared" si="194"/>
        <v>23.041389155021985</v>
      </c>
      <c r="BU42" s="227">
        <f t="shared" si="195"/>
        <v>5.0330183913309794</v>
      </c>
      <c r="BV42" s="227">
        <f t="shared" si="97"/>
        <v>21.843380871999237</v>
      </c>
      <c r="BX42" s="231">
        <f t="shared" si="98"/>
        <v>0.33582807945203619</v>
      </c>
      <c r="BY42" s="231">
        <f t="shared" si="99"/>
        <v>0.3087404981240815</v>
      </c>
      <c r="BZ42" s="231">
        <f t="shared" si="100"/>
        <v>0.32061658983921837</v>
      </c>
      <c r="CA42" s="231">
        <f t="shared" si="101"/>
        <v>0.24</v>
      </c>
      <c r="CB42" s="231">
        <f t="shared" si="102"/>
        <v>0.36410070052158128</v>
      </c>
      <c r="CC42" s="231">
        <f t="shared" si="103"/>
        <v>0.31843596665486845</v>
      </c>
      <c r="CD42" s="231">
        <f t="shared" si="104"/>
        <v>0.48</v>
      </c>
      <c r="CE42" s="231">
        <f t="shared" si="105"/>
        <v>0.46103096440318281</v>
      </c>
      <c r="CF42" s="231">
        <f t="shared" si="106"/>
        <v>0.35359409987437102</v>
      </c>
      <c r="CG42" s="231">
        <f t="shared" si="107"/>
        <v>8.0344105660768245E-2</v>
      </c>
      <c r="CH42" s="231">
        <f t="shared" si="196"/>
        <v>22.722128477062775</v>
      </c>
      <c r="CJ42" s="232">
        <f t="shared" si="108"/>
        <v>1.5049669455013923</v>
      </c>
      <c r="CK42" s="232">
        <f t="shared" si="109"/>
        <v>1.5049669455013923</v>
      </c>
      <c r="CL42" s="232">
        <f t="shared" si="110"/>
        <v>2.1</v>
      </c>
      <c r="CM42" s="232">
        <f t="shared" si="111"/>
        <v>1.8553050657217867</v>
      </c>
      <c r="CN42" s="232">
        <f t="shared" si="112"/>
        <v>1.8932529321241371</v>
      </c>
      <c r="CO42" s="232">
        <f t="shared" si="113"/>
        <v>1.5162521221739225</v>
      </c>
      <c r="CP42" s="232">
        <f t="shared" si="114"/>
        <v>1.5059149102618035</v>
      </c>
      <c r="CQ42" s="232">
        <f t="shared" si="115"/>
        <v>1.8575758935362348</v>
      </c>
      <c r="CR42" s="232">
        <f t="shared" si="116"/>
        <v>3.965047944188091</v>
      </c>
      <c r="CS42" s="232">
        <f t="shared" si="117"/>
        <v>1.41</v>
      </c>
      <c r="CT42" s="232">
        <f t="shared" si="118"/>
        <v>1.4161522506622211</v>
      </c>
      <c r="CU42" s="232">
        <f t="shared" si="119"/>
        <v>1.8663122736064528</v>
      </c>
      <c r="CV42" s="232">
        <f t="shared" si="120"/>
        <v>0.73380234731136929</v>
      </c>
      <c r="CW42" s="232">
        <f t="shared" si="197"/>
        <v>39.31830474936401</v>
      </c>
      <c r="CY42" s="229">
        <f t="shared" si="198"/>
        <v>1.19</v>
      </c>
      <c r="CZ42" s="229">
        <f t="shared" si="199"/>
        <v>0.72854630717981606</v>
      </c>
      <c r="DA42" s="229">
        <f t="shared" si="200"/>
        <v>0.52831856716937176</v>
      </c>
      <c r="DB42" s="229">
        <f t="shared" si="201"/>
        <v>1.1870616215410699</v>
      </c>
      <c r="DC42" s="229">
        <f t="shared" si="202"/>
        <v>0.57999999999999996</v>
      </c>
      <c r="DD42" s="229">
        <f t="shared" si="203"/>
        <v>0.55399871475681917</v>
      </c>
      <c r="DE42" s="229">
        <f t="shared" si="204"/>
        <v>0.8</v>
      </c>
      <c r="DF42" s="229">
        <f t="shared" si="205"/>
        <v>0.79541788723529661</v>
      </c>
      <c r="DG42" s="229">
        <f t="shared" si="206"/>
        <v>0.28565795165784197</v>
      </c>
      <c r="DH42" s="229">
        <f t="shared" si="207"/>
        <v>35.912940385427873</v>
      </c>
      <c r="DJ42" s="234">
        <f t="shared" si="121"/>
        <v>0.11713115683429891</v>
      </c>
      <c r="DK42" s="234">
        <f t="shared" si="122"/>
        <v>0.15828534707337691</v>
      </c>
      <c r="DL42" s="234">
        <f t="shared" si="123"/>
        <v>0.11668261485834405</v>
      </c>
      <c r="DM42" s="234">
        <f t="shared" si="208"/>
        <v>0.13069970625533997</v>
      </c>
      <c r="DN42" s="234">
        <f t="shared" si="209"/>
        <v>2.3890918399725774E-2</v>
      </c>
      <c r="DO42" s="234">
        <f t="shared" si="210"/>
        <v>18.279244142333081</v>
      </c>
      <c r="DQ42" s="229">
        <f t="shared" si="124"/>
        <v>3.49</v>
      </c>
      <c r="DR42" s="229">
        <f t="shared" si="125"/>
        <v>3.8386329864163318</v>
      </c>
      <c r="DS42" s="229">
        <f t="shared" si="126"/>
        <v>3.0064159810915969</v>
      </c>
      <c r="DT42" s="229">
        <f t="shared" si="127"/>
        <v>2.6435318581375946</v>
      </c>
      <c r="DU42" s="229">
        <f t="shared" si="128"/>
        <v>3.8386329864163318</v>
      </c>
      <c r="DV42" s="229">
        <f t="shared" si="129"/>
        <v>1.97</v>
      </c>
      <c r="DW42" s="229">
        <f t="shared" si="130"/>
        <v>1.4554</v>
      </c>
      <c r="DX42" s="229">
        <f t="shared" si="131"/>
        <v>3.480806229280156</v>
      </c>
      <c r="DY42" s="229">
        <f t="shared" si="211"/>
        <v>2.9654275051677512</v>
      </c>
      <c r="DZ42" s="229">
        <f t="shared" si="212"/>
        <v>0.88172906461521461</v>
      </c>
      <c r="EA42" s="229">
        <f t="shared" si="213"/>
        <v>29.733624007960231</v>
      </c>
      <c r="EC42" s="235">
        <f t="shared" si="132"/>
        <v>0.21203709678030888</v>
      </c>
      <c r="ED42" s="235">
        <f t="shared" si="133"/>
        <v>0.15</v>
      </c>
      <c r="EE42" s="235">
        <f t="shared" si="134"/>
        <v>0.1741138817807146</v>
      </c>
      <c r="EF42" s="235">
        <f t="shared" si="135"/>
        <v>0.14663475270403689</v>
      </c>
      <c r="EG42" s="235">
        <f t="shared" si="136"/>
        <v>0.17069643281626509</v>
      </c>
      <c r="EH42" s="235">
        <f t="shared" si="137"/>
        <v>3.0155354613257784E-2</v>
      </c>
      <c r="EI42" s="235">
        <f t="shared" si="214"/>
        <v>17.666071935853822</v>
      </c>
      <c r="EK42" s="236">
        <f t="shared" si="138"/>
        <v>20.705381659388649</v>
      </c>
      <c r="EL42" s="236">
        <f t="shared" si="139"/>
        <v>29.699359965610512</v>
      </c>
      <c r="EM42" s="236">
        <f t="shared" si="140"/>
        <v>30.336424888264055</v>
      </c>
      <c r="EN42" s="236">
        <f t="shared" si="141"/>
        <v>14.4</v>
      </c>
      <c r="EO42" s="236">
        <f t="shared" si="142"/>
        <v>28.951836654376457</v>
      </c>
      <c r="EP42" s="236">
        <f t="shared" si="143"/>
        <v>30.336424888264055</v>
      </c>
      <c r="EQ42" s="236">
        <f t="shared" si="144"/>
        <v>32.386784387901457</v>
      </c>
      <c r="ER42" s="236">
        <f t="shared" si="145"/>
        <v>26.688030349115024</v>
      </c>
      <c r="ES42" s="236">
        <f t="shared" si="146"/>
        <v>6.5837940337563134</v>
      </c>
      <c r="ET42" s="236">
        <f t="shared" si="215"/>
        <v>24.669463979287748</v>
      </c>
      <c r="EV42" s="238">
        <f t="shared" si="147"/>
        <v>1.582853470733769E-2</v>
      </c>
      <c r="EW42" s="238">
        <f t="shared" si="148"/>
        <v>1.582853470733769E-2</v>
      </c>
      <c r="EX42" s="238" t="e">
        <f t="shared" si="149"/>
        <v>#DIV/0!</v>
      </c>
      <c r="EY42" s="238" t="e">
        <f t="shared" si="216"/>
        <v>#DIV/0!</v>
      </c>
      <c r="FA42" s="240">
        <f t="shared" si="150"/>
        <v>0.49068457592746839</v>
      </c>
      <c r="FB42" s="240">
        <f t="shared" si="151"/>
        <v>0.65925847056061482</v>
      </c>
      <c r="FC42" s="240">
        <f t="shared" si="152"/>
        <v>0.57497152324404155</v>
      </c>
      <c r="FD42" s="240">
        <f t="shared" si="153"/>
        <v>0.11919974402612478</v>
      </c>
      <c r="FE42" s="240">
        <f t="shared" si="217"/>
        <v>20.731416984547167</v>
      </c>
      <c r="FG42" s="236">
        <f t="shared" si="154"/>
        <v>1.2</v>
      </c>
      <c r="FH42" s="236">
        <f t="shared" si="155"/>
        <v>1.3893534469607136</v>
      </c>
      <c r="FI42" s="236">
        <f t="shared" si="156"/>
        <v>1.3058541133553594</v>
      </c>
      <c r="FJ42" s="236">
        <f t="shared" si="157"/>
        <v>0.92</v>
      </c>
      <c r="FK42" s="236">
        <f t="shared" si="158"/>
        <v>1.2662827765870153</v>
      </c>
      <c r="FL42" s="236">
        <f t="shared" si="159"/>
        <v>0.9</v>
      </c>
      <c r="FM42" s="236">
        <f t="shared" si="160"/>
        <v>1.1635817228171816</v>
      </c>
      <c r="FN42" s="236">
        <f t="shared" si="161"/>
        <v>0.20586183822381807</v>
      </c>
      <c r="FO42" s="236">
        <f t="shared" si="218"/>
        <v>17.692082488662674</v>
      </c>
      <c r="FQ42" s="227">
        <f t="shared" si="162"/>
        <v>0.32</v>
      </c>
      <c r="FR42" s="227">
        <f t="shared" si="163"/>
        <v>0.34847318847090997</v>
      </c>
      <c r="FS42" s="227">
        <f t="shared" si="164"/>
        <v>0.34847318847090997</v>
      </c>
      <c r="FT42" s="227">
        <f t="shared" si="165"/>
        <v>0.24</v>
      </c>
      <c r="FU42" s="227">
        <f t="shared" si="166"/>
        <v>0.32978752062738076</v>
      </c>
      <c r="FV42" s="227">
        <f t="shared" si="219"/>
        <v>0.31734677951384016</v>
      </c>
      <c r="FW42" s="227">
        <f t="shared" si="220"/>
        <v>4.4950090624742867E-2</v>
      </c>
      <c r="FX42" s="227">
        <f t="shared" si="221"/>
        <v>14.164344347090656</v>
      </c>
      <c r="FZ42" s="230">
        <f t="shared" si="167"/>
        <v>1.6619961442704576</v>
      </c>
      <c r="GA42" s="230">
        <f t="shared" si="168"/>
        <v>2.4700000000000002</v>
      </c>
      <c r="GB42" s="230">
        <f t="shared" si="169"/>
        <v>3.5473555782030046</v>
      </c>
      <c r="GC42" s="230">
        <f t="shared" si="170"/>
        <v>2.5597839074911541</v>
      </c>
      <c r="GD42" s="230">
        <f t="shared" si="171"/>
        <v>0.94588102386764239</v>
      </c>
      <c r="GE42" s="230">
        <f t="shared" si="222"/>
        <v>36.951596621087482</v>
      </c>
      <c r="GG42" s="231">
        <f t="shared" si="172"/>
        <v>0.11079974295136383</v>
      </c>
      <c r="GH42" s="231">
        <f t="shared" si="173"/>
        <v>0.05</v>
      </c>
      <c r="GI42" s="231">
        <f t="shared" si="174"/>
        <v>0.05</v>
      </c>
      <c r="GJ42" s="231">
        <f t="shared" si="175"/>
        <v>0.12282942932894048</v>
      </c>
      <c r="GK42" s="245">
        <f t="shared" si="186"/>
        <v>7.427647644298016E-2</v>
      </c>
      <c r="GL42" s="231">
        <f t="shared" si="187"/>
        <v>4.2048090627990593E-2</v>
      </c>
      <c r="GM42" s="231">
        <f t="shared" si="223"/>
        <v>56.610238721097197</v>
      </c>
      <c r="GO42" s="246">
        <f t="shared" si="176"/>
        <v>0.18</v>
      </c>
      <c r="GP42" s="246">
        <f t="shared" si="177"/>
        <v>0.18202814913438342</v>
      </c>
      <c r="GQ42" s="247">
        <f t="shared" si="188"/>
        <v>0.18101407456719171</v>
      </c>
      <c r="GR42" s="246">
        <f t="shared" si="189"/>
        <v>1.4341180061801485E-3</v>
      </c>
      <c r="GS42" s="246">
        <f t="shared" si="224"/>
        <v>0.79226878330270911</v>
      </c>
      <c r="GU42" s="249">
        <f t="shared" si="178"/>
        <v>2.2421119412943839E-2</v>
      </c>
      <c r="GV42" s="249">
        <f t="shared" si="179"/>
        <v>2.2421119412943839E-2</v>
      </c>
      <c r="GW42" s="249" t="e">
        <f t="shared" si="180"/>
        <v>#DIV/0!</v>
      </c>
      <c r="GX42" s="249" t="e">
        <f t="shared" si="225"/>
        <v>#DIV/0!</v>
      </c>
      <c r="GZ42" s="240">
        <f t="shared" si="181"/>
        <v>2.3742802061006537E-2</v>
      </c>
      <c r="HA42" s="240">
        <f t="shared" si="182"/>
        <v>2.3742802061006537E-2</v>
      </c>
      <c r="HB42" s="240" t="e">
        <f t="shared" si="183"/>
        <v>#DIV/0!</v>
      </c>
      <c r="HC42" s="240" t="e">
        <f t="shared" si="226"/>
        <v>#DIV/0!</v>
      </c>
      <c r="HE42" s="234">
        <f t="shared" si="184"/>
        <v>9.3749581508659238E-2</v>
      </c>
      <c r="HF42" s="234">
        <f t="shared" si="185"/>
        <v>9.3749581508659238E-2</v>
      </c>
      <c r="HG42" s="251">
        <f t="shared" si="190"/>
        <v>9.3749581508659238E-2</v>
      </c>
      <c r="HH42" s="234">
        <f t="shared" si="191"/>
        <v>0</v>
      </c>
      <c r="HI42" s="234">
        <f t="shared" si="227"/>
        <v>0</v>
      </c>
    </row>
    <row r="43" spans="2:217" ht="15.6" x14ac:dyDescent="0.25">
      <c r="B43">
        <v>39</v>
      </c>
      <c r="C43" s="124">
        <f t="shared" si="38"/>
        <v>79.315720975129921</v>
      </c>
      <c r="D43" s="124">
        <f t="shared" si="39"/>
        <v>175.53483072674163</v>
      </c>
      <c r="E43" s="29">
        <f t="shared" si="40"/>
        <v>2.1686801651299796</v>
      </c>
      <c r="F43" s="29">
        <f t="shared" si="41"/>
        <v>1.9786054645693465</v>
      </c>
      <c r="G43" s="29">
        <f t="shared" si="42"/>
        <v>1.9532481069180474</v>
      </c>
      <c r="H43" s="29">
        <f t="shared" si="43"/>
        <v>1.9777635047971893</v>
      </c>
      <c r="I43" s="29">
        <f t="shared" si="44"/>
        <v>2.0030652862235345</v>
      </c>
      <c r="J43" s="29">
        <f t="shared" si="45"/>
        <v>1.9777635047971893</v>
      </c>
      <c r="K43" s="29">
        <f t="shared" si="46"/>
        <v>1.9665728547780006</v>
      </c>
      <c r="L43" s="125">
        <f t="shared" si="0"/>
        <v>2.0036712696018983</v>
      </c>
      <c r="M43" s="126">
        <f t="shared" si="1"/>
        <v>7.4294245709231904E-2</v>
      </c>
      <c r="N43" s="126">
        <f t="shared" si="47"/>
        <v>3.7079059243082892</v>
      </c>
      <c r="P43" s="138">
        <f t="shared" si="48"/>
        <v>420.77096661639865</v>
      </c>
      <c r="Q43" s="138">
        <f t="shared" si="49"/>
        <v>325.79239999999999</v>
      </c>
      <c r="R43" s="138">
        <f t="shared" si="50"/>
        <v>420.77096661639865</v>
      </c>
      <c r="S43" s="138">
        <f t="shared" si="51"/>
        <v>400.78910140306965</v>
      </c>
      <c r="T43" s="138">
        <f t="shared" si="52"/>
        <v>459.01624614652002</v>
      </c>
      <c r="U43" s="138">
        <f t="shared" si="53"/>
        <v>420.77096661639865</v>
      </c>
      <c r="V43" s="138">
        <f t="shared" si="54"/>
        <v>302.37798000000004</v>
      </c>
      <c r="W43" s="138">
        <f t="shared" si="55"/>
        <v>392.89837534268366</v>
      </c>
      <c r="X43" s="138">
        <f t="shared" si="56"/>
        <v>56.952662112225703</v>
      </c>
      <c r="Y43" s="138">
        <f t="shared" si="57"/>
        <v>14.495519881585645</v>
      </c>
      <c r="AA43" s="227">
        <f t="shared" si="228"/>
        <v>0.45007408785000003</v>
      </c>
      <c r="AB43" s="227">
        <f t="shared" si="229"/>
        <v>0.40533898305084742</v>
      </c>
      <c r="AC43" s="227">
        <f t="shared" si="230"/>
        <v>0.47</v>
      </c>
      <c r="AD43" s="227">
        <f t="shared" si="231"/>
        <v>0.45007408785000003</v>
      </c>
      <c r="AE43" s="227">
        <f t="shared" si="62"/>
        <v>0.44387178968771185</v>
      </c>
      <c r="AF43" s="227">
        <f t="shared" si="63"/>
        <v>2.735201129975021E-2</v>
      </c>
      <c r="AG43" s="227">
        <f t="shared" si="64"/>
        <v>6.1621422976652447</v>
      </c>
      <c r="AI43" s="228">
        <f t="shared" si="65"/>
        <v>4.4829793892982606</v>
      </c>
      <c r="AJ43" s="228">
        <f t="shared" si="66"/>
        <v>4.4829793892982606</v>
      </c>
      <c r="AK43" s="228">
        <f t="shared" si="67"/>
        <v>4.4829793892982606</v>
      </c>
      <c r="AL43" s="228">
        <f t="shared" si="68"/>
        <v>7.1124186535402529</v>
      </c>
      <c r="AM43" s="228">
        <f t="shared" si="69"/>
        <v>4.28</v>
      </c>
      <c r="AN43" s="228">
        <f t="shared" si="70"/>
        <v>5.155521863383445</v>
      </c>
      <c r="AO43" s="228">
        <f t="shared" si="71"/>
        <v>4.59411846900099</v>
      </c>
      <c r="AP43" s="228">
        <f t="shared" si="72"/>
        <v>4.9415710219742106</v>
      </c>
      <c r="AQ43" s="228">
        <f t="shared" si="73"/>
        <v>0.99562984691269552</v>
      </c>
      <c r="AR43" s="228">
        <f t="shared" si="74"/>
        <v>20.148042848829292</v>
      </c>
      <c r="AT43" s="229">
        <f t="shared" si="75"/>
        <v>1.4097461273666092</v>
      </c>
      <c r="AU43" s="229">
        <f t="shared" si="76"/>
        <v>1.47</v>
      </c>
      <c r="AV43" s="229">
        <f t="shared" si="77"/>
        <v>1.3433580746136382</v>
      </c>
      <c r="AW43" s="229">
        <f t="shared" si="78"/>
        <v>1.4097461273666092</v>
      </c>
      <c r="AX43" s="229">
        <f t="shared" si="79"/>
        <v>0.73349910343249936</v>
      </c>
      <c r="AY43" s="229">
        <f t="shared" si="80"/>
        <v>1.3</v>
      </c>
      <c r="AZ43" s="229">
        <f t="shared" si="81"/>
        <v>1.2999999998121055</v>
      </c>
      <c r="BA43" s="229">
        <f t="shared" si="82"/>
        <v>1.2525405277654247</v>
      </c>
      <c r="BB43" s="229">
        <f t="shared" si="83"/>
        <v>1.2773612450446106</v>
      </c>
      <c r="BC43" s="229">
        <f t="shared" si="84"/>
        <v>0.23112887842292301</v>
      </c>
      <c r="BD43" s="229">
        <f t="shared" si="85"/>
        <v>18.094245407833011</v>
      </c>
      <c r="BF43" s="230">
        <f t="shared" si="86"/>
        <v>11.73</v>
      </c>
      <c r="BG43" s="230">
        <f t="shared" si="87"/>
        <v>6.27</v>
      </c>
      <c r="BH43" s="230">
        <f t="shared" si="88"/>
        <v>6.6146461538388079</v>
      </c>
      <c r="BI43" s="230">
        <f t="shared" si="192"/>
        <v>8.2048820512796024</v>
      </c>
      <c r="BJ43" s="230">
        <f t="shared" si="193"/>
        <v>3.0577013682065144</v>
      </c>
      <c r="BK43" s="230">
        <f t="shared" si="89"/>
        <v>37.266853430630938</v>
      </c>
      <c r="BM43" s="227">
        <f t="shared" si="90"/>
        <v>31.73</v>
      </c>
      <c r="BN43" s="227">
        <f t="shared" si="91"/>
        <v>24.554995705834259</v>
      </c>
      <c r="BO43" s="227">
        <f t="shared" si="92"/>
        <v>22.780002170908816</v>
      </c>
      <c r="BP43" s="227">
        <f t="shared" si="93"/>
        <v>24.554995705834259</v>
      </c>
      <c r="BQ43" s="227">
        <f t="shared" si="94"/>
        <v>15.17</v>
      </c>
      <c r="BR43" s="227">
        <f t="shared" si="95"/>
        <v>22.508337246079186</v>
      </c>
      <c r="BS43" s="227">
        <f t="shared" si="96"/>
        <v>19.95</v>
      </c>
      <c r="BT43" s="227">
        <f t="shared" si="194"/>
        <v>23.035475832665217</v>
      </c>
      <c r="BU43" s="227">
        <f t="shared" si="195"/>
        <v>5.0322566981392045</v>
      </c>
      <c r="BV43" s="227">
        <f t="shared" si="97"/>
        <v>21.84568156826726</v>
      </c>
      <c r="BX43" s="231">
        <f t="shared" si="98"/>
        <v>0.3352930846820833</v>
      </c>
      <c r="BY43" s="231">
        <f t="shared" si="99"/>
        <v>0.30895245420416872</v>
      </c>
      <c r="BZ43" s="231">
        <f t="shared" si="100"/>
        <v>0.32112364034922641</v>
      </c>
      <c r="CA43" s="231">
        <f t="shared" si="101"/>
        <v>0.24</v>
      </c>
      <c r="CB43" s="231">
        <f t="shared" si="102"/>
        <v>0.36488799234829866</v>
      </c>
      <c r="CC43" s="231">
        <f t="shared" si="103"/>
        <v>0.31789498745434291</v>
      </c>
      <c r="CD43" s="231">
        <f t="shared" si="104"/>
        <v>0.48</v>
      </c>
      <c r="CE43" s="231">
        <f t="shared" si="105"/>
        <v>0.45911100036241109</v>
      </c>
      <c r="CF43" s="231">
        <f t="shared" si="106"/>
        <v>0.35340789492506636</v>
      </c>
      <c r="CG43" s="231">
        <f t="shared" si="107"/>
        <v>7.9999752754040906E-2</v>
      </c>
      <c r="CH43" s="231">
        <f t="shared" si="196"/>
        <v>22.636662593800679</v>
      </c>
      <c r="CJ43" s="232">
        <f t="shared" si="108"/>
        <v>1.5044252213689477</v>
      </c>
      <c r="CK43" s="232">
        <f t="shared" si="109"/>
        <v>1.5044252213689477</v>
      </c>
      <c r="CL43" s="232">
        <f t="shared" si="110"/>
        <v>2.1</v>
      </c>
      <c r="CM43" s="232">
        <f t="shared" si="111"/>
        <v>1.8580632887287221</v>
      </c>
      <c r="CN43" s="232">
        <f t="shared" si="112"/>
        <v>1.8946276059751552</v>
      </c>
      <c r="CO43" s="232">
        <f t="shared" si="113"/>
        <v>1.5188374528951769</v>
      </c>
      <c r="CP43" s="232">
        <f t="shared" si="114"/>
        <v>1.505372844902338</v>
      </c>
      <c r="CQ43" s="232">
        <f t="shared" si="115"/>
        <v>1.8614543077701333</v>
      </c>
      <c r="CR43" s="232">
        <f t="shared" si="116"/>
        <v>3.9737176208540088</v>
      </c>
      <c r="CS43" s="232">
        <f t="shared" si="117"/>
        <v>1.41</v>
      </c>
      <c r="CT43" s="232">
        <f t="shared" si="118"/>
        <v>1.4140795713607266</v>
      </c>
      <c r="CU43" s="232">
        <f t="shared" si="119"/>
        <v>1.8677275577476506</v>
      </c>
      <c r="CV43" s="232">
        <f t="shared" si="120"/>
        <v>0.73636366211161952</v>
      </c>
      <c r="CW43" s="232">
        <f t="shared" si="197"/>
        <v>39.425646372087733</v>
      </c>
      <c r="CY43" s="229">
        <f t="shared" si="198"/>
        <v>1.19</v>
      </c>
      <c r="CZ43" s="229">
        <f t="shared" si="199"/>
        <v>0.73194961906708322</v>
      </c>
      <c r="DA43" s="229">
        <f t="shared" si="200"/>
        <v>0.52634490793247624</v>
      </c>
      <c r="DB43" s="229">
        <f t="shared" si="201"/>
        <v>1.1890326566193044</v>
      </c>
      <c r="DC43" s="229">
        <f t="shared" si="202"/>
        <v>0.57999999999999996</v>
      </c>
      <c r="DD43" s="229">
        <f t="shared" si="203"/>
        <v>0.55521004682590946</v>
      </c>
      <c r="DE43" s="229">
        <f t="shared" si="204"/>
        <v>0.8</v>
      </c>
      <c r="DF43" s="229">
        <f t="shared" si="205"/>
        <v>0.79607674720639598</v>
      </c>
      <c r="DG43" s="229">
        <f t="shared" si="206"/>
        <v>0.28611732717642002</v>
      </c>
      <c r="DH43" s="229">
        <f t="shared" si="207"/>
        <v>35.940922553066279</v>
      </c>
      <c r="DJ43" s="234">
        <f t="shared" si="121"/>
        <v>0.11738726704319229</v>
      </c>
      <c r="DK43" s="234">
        <f t="shared" si="122"/>
        <v>0.15863144195025985</v>
      </c>
      <c r="DL43" s="234">
        <f t="shared" si="123"/>
        <v>0.1164818520080966</v>
      </c>
      <c r="DM43" s="234">
        <f t="shared" si="208"/>
        <v>0.13083352033384957</v>
      </c>
      <c r="DN43" s="234">
        <f t="shared" si="209"/>
        <v>2.4077962512233354E-2</v>
      </c>
      <c r="DO43" s="234">
        <f t="shared" si="210"/>
        <v>18.403511921710361</v>
      </c>
      <c r="DQ43" s="229">
        <f t="shared" si="124"/>
        <v>3.49</v>
      </c>
      <c r="DR43" s="229">
        <f t="shared" si="125"/>
        <v>3.8374698533018825</v>
      </c>
      <c r="DS43" s="229">
        <f t="shared" si="126"/>
        <v>3.0055069044028473</v>
      </c>
      <c r="DT43" s="229">
        <f t="shared" si="127"/>
        <v>2.6480874311156275</v>
      </c>
      <c r="DU43" s="229">
        <f t="shared" si="128"/>
        <v>3.8374698533018825</v>
      </c>
      <c r="DV43" s="229">
        <f t="shared" si="129"/>
        <v>1.97</v>
      </c>
      <c r="DW43" s="229">
        <f t="shared" si="130"/>
        <v>1.4937</v>
      </c>
      <c r="DX43" s="229">
        <f t="shared" si="131"/>
        <v>3.4773482917122687</v>
      </c>
      <c r="DY43" s="229">
        <f t="shared" si="211"/>
        <v>2.9699477917293136</v>
      </c>
      <c r="DZ43" s="229">
        <f t="shared" si="212"/>
        <v>0.87154708850238694</v>
      </c>
      <c r="EA43" s="229">
        <f t="shared" si="213"/>
        <v>29.345535666635765</v>
      </c>
      <c r="EC43" s="235">
        <f t="shared" si="132"/>
        <v>0.21242427082491339</v>
      </c>
      <c r="ED43" s="235">
        <f t="shared" si="133"/>
        <v>0.15</v>
      </c>
      <c r="EE43" s="235">
        <f t="shared" si="134"/>
        <v>0.17449458614528585</v>
      </c>
      <c r="EF43" s="235">
        <f t="shared" si="135"/>
        <v>0.14639951350094813</v>
      </c>
      <c r="EG43" s="235">
        <f t="shared" si="136"/>
        <v>0.17082959261778685</v>
      </c>
      <c r="EH43" s="235">
        <f t="shared" si="137"/>
        <v>3.0409703095059241E-2</v>
      </c>
      <c r="EI43" s="235">
        <f t="shared" si="214"/>
        <v>17.801191602146904</v>
      </c>
      <c r="EK43" s="236">
        <f t="shared" si="138"/>
        <v>20.705381659388649</v>
      </c>
      <c r="EL43" s="236">
        <f t="shared" si="139"/>
        <v>29.957485626664084</v>
      </c>
      <c r="EM43" s="236">
        <f t="shared" si="140"/>
        <v>30.60008746339539</v>
      </c>
      <c r="EN43" s="236">
        <f t="shared" si="141"/>
        <v>14.4</v>
      </c>
      <c r="EO43" s="236">
        <f t="shared" si="142"/>
        <v>29.129054207734235</v>
      </c>
      <c r="EP43" s="236">
        <f t="shared" si="143"/>
        <v>30.60008746339539</v>
      </c>
      <c r="EQ43" s="236">
        <f t="shared" si="144"/>
        <v>32.532893577153438</v>
      </c>
      <c r="ER43" s="236">
        <f t="shared" si="145"/>
        <v>26.846427142533027</v>
      </c>
      <c r="ES43" s="236">
        <f t="shared" si="146"/>
        <v>6.6836977237130428</v>
      </c>
      <c r="ET43" s="236">
        <f t="shared" si="215"/>
        <v>24.896041801867938</v>
      </c>
      <c r="EV43" s="238">
        <f t="shared" si="147"/>
        <v>1.5863144195025984E-2</v>
      </c>
      <c r="EW43" s="238">
        <f t="shared" si="148"/>
        <v>1.5863144195025984E-2</v>
      </c>
      <c r="EX43" s="238" t="e">
        <f t="shared" si="149"/>
        <v>#DIV/0!</v>
      </c>
      <c r="EY43" s="238" t="e">
        <f t="shared" si="216"/>
        <v>#DIV/0!</v>
      </c>
      <c r="FA43" s="240">
        <f t="shared" si="150"/>
        <v>0.4917574700458055</v>
      </c>
      <c r="FB43" s="240">
        <f t="shared" si="151"/>
        <v>0.66069995572283224</v>
      </c>
      <c r="FC43" s="240">
        <f t="shared" si="152"/>
        <v>0.57622871288431887</v>
      </c>
      <c r="FD43" s="240">
        <f t="shared" si="153"/>
        <v>0.11946037725273663</v>
      </c>
      <c r="FE43" s="240">
        <f t="shared" si="217"/>
        <v>20.731416984547067</v>
      </c>
      <c r="FG43" s="236">
        <f t="shared" si="154"/>
        <v>1.2</v>
      </c>
      <c r="FH43" s="236">
        <f t="shared" si="155"/>
        <v>1.3890362288059666</v>
      </c>
      <c r="FI43" s="236">
        <f t="shared" si="156"/>
        <v>1.3087093960896437</v>
      </c>
      <c r="FJ43" s="236">
        <f t="shared" si="157"/>
        <v>0.92</v>
      </c>
      <c r="FK43" s="236">
        <f t="shared" si="158"/>
        <v>1.2690515356020788</v>
      </c>
      <c r="FL43" s="236">
        <f t="shared" si="159"/>
        <v>0.9</v>
      </c>
      <c r="FM43" s="236">
        <f t="shared" si="160"/>
        <v>1.1644661934162814</v>
      </c>
      <c r="FN43" s="236">
        <f t="shared" si="161"/>
        <v>0.20646773825776599</v>
      </c>
      <c r="FO43" s="236">
        <f t="shared" si="218"/>
        <v>17.730676890845253</v>
      </c>
      <c r="FQ43" s="227">
        <f t="shared" si="162"/>
        <v>0.32</v>
      </c>
      <c r="FR43" s="227">
        <f t="shared" si="163"/>
        <v>0.34791281621385228</v>
      </c>
      <c r="FS43" s="227">
        <f t="shared" si="164"/>
        <v>0.34791281621385228</v>
      </c>
      <c r="FT43" s="227">
        <f t="shared" si="165"/>
        <v>0.24</v>
      </c>
      <c r="FU43" s="227">
        <f t="shared" si="166"/>
        <v>0.33050860930336634</v>
      </c>
      <c r="FV43" s="227">
        <f t="shared" si="219"/>
        <v>0.31726684834621421</v>
      </c>
      <c r="FW43" s="227">
        <f t="shared" si="220"/>
        <v>4.4808846497244266E-2</v>
      </c>
      <c r="FX43" s="227">
        <f t="shared" si="221"/>
        <v>14.123393834185622</v>
      </c>
      <c r="FZ43" s="230">
        <f t="shared" si="167"/>
        <v>1.6656301404777285</v>
      </c>
      <c r="GA43" s="230">
        <f t="shared" si="168"/>
        <v>2.4700000000000002</v>
      </c>
      <c r="GB43" s="230">
        <f t="shared" si="169"/>
        <v>3.5569043046644908</v>
      </c>
      <c r="GC43" s="230">
        <f t="shared" si="170"/>
        <v>2.5641781483807402</v>
      </c>
      <c r="GD43" s="230">
        <f t="shared" si="171"/>
        <v>0.94914784609901537</v>
      </c>
      <c r="GE43" s="230">
        <f t="shared" si="222"/>
        <v>37.015674854666216</v>
      </c>
      <c r="GG43" s="231">
        <f t="shared" si="172"/>
        <v>0.11104200936518188</v>
      </c>
      <c r="GH43" s="231">
        <f t="shared" si="173"/>
        <v>0.05</v>
      </c>
      <c r="GI43" s="231">
        <f t="shared" si="174"/>
        <v>0.05</v>
      </c>
      <c r="GJ43" s="231">
        <f t="shared" si="175"/>
        <v>0.12309799895340164</v>
      </c>
      <c r="GK43" s="245">
        <f t="shared" si="186"/>
        <v>7.4365999651133885E-2</v>
      </c>
      <c r="GL43" s="231">
        <f t="shared" si="187"/>
        <v>4.2203149372969401E-2</v>
      </c>
      <c r="GM43" s="231">
        <f t="shared" si="223"/>
        <v>56.750597814798439</v>
      </c>
      <c r="GO43" s="246">
        <f t="shared" si="176"/>
        <v>0.18</v>
      </c>
      <c r="GP43" s="246">
        <f t="shared" si="177"/>
        <v>0.18242615824279881</v>
      </c>
      <c r="GQ43" s="247">
        <f t="shared" si="188"/>
        <v>0.18121307912139939</v>
      </c>
      <c r="GR43" s="246">
        <f t="shared" si="189"/>
        <v>1.715552945714684E-3</v>
      </c>
      <c r="GS43" s="246">
        <f t="shared" si="224"/>
        <v>0.94670481514493243</v>
      </c>
      <c r="GU43" s="249">
        <f t="shared" si="178"/>
        <v>2.2470143752254305E-2</v>
      </c>
      <c r="GV43" s="249">
        <f t="shared" si="179"/>
        <v>2.2470143752254305E-2</v>
      </c>
      <c r="GW43" s="249" t="e">
        <f t="shared" si="180"/>
        <v>#DIV/0!</v>
      </c>
      <c r="GX43" s="249" t="e">
        <f t="shared" si="225"/>
        <v>#DIV/0!</v>
      </c>
      <c r="GZ43" s="240">
        <f t="shared" si="181"/>
        <v>2.379471629253898E-2</v>
      </c>
      <c r="HA43" s="240">
        <f t="shared" si="182"/>
        <v>2.379471629253898E-2</v>
      </c>
      <c r="HB43" s="240" t="e">
        <f t="shared" si="183"/>
        <v>#DIV/0!</v>
      </c>
      <c r="HC43" s="240" t="e">
        <f t="shared" si="226"/>
        <v>#DIV/0!</v>
      </c>
      <c r="HE43" s="234">
        <f t="shared" si="184"/>
        <v>9.3955507960404583E-2</v>
      </c>
      <c r="HF43" s="234">
        <f t="shared" si="185"/>
        <v>9.3955507960404583E-2</v>
      </c>
      <c r="HG43" s="251">
        <f t="shared" si="190"/>
        <v>9.3955507960404583E-2</v>
      </c>
      <c r="HH43" s="234">
        <f t="shared" si="191"/>
        <v>0</v>
      </c>
      <c r="HI43" s="234">
        <f t="shared" si="227"/>
        <v>0</v>
      </c>
    </row>
    <row r="44" spans="2:217" ht="15.6" x14ac:dyDescent="0.25">
      <c r="B44">
        <v>40</v>
      </c>
      <c r="C44" s="124">
        <f t="shared" si="38"/>
        <v>79.482303949868083</v>
      </c>
      <c r="D44" s="124">
        <f t="shared" si="39"/>
        <v>175.09868325580806</v>
      </c>
      <c r="E44" s="29">
        <f t="shared" si="40"/>
        <v>2.1677858568091946</v>
      </c>
      <c r="F44" s="29">
        <f t="shared" si="41"/>
        <v>1.9786661227780544</v>
      </c>
      <c r="G44" s="29">
        <f t="shared" si="42"/>
        <v>1.9514676307907448</v>
      </c>
      <c r="H44" s="29">
        <f t="shared" si="43"/>
        <v>1.9778241371938936</v>
      </c>
      <c r="I44" s="29">
        <f t="shared" si="44"/>
        <v>2.0031576744650916</v>
      </c>
      <c r="J44" s="29">
        <f t="shared" si="45"/>
        <v>1.9778241371938936</v>
      </c>
      <c r="K44" s="29">
        <f t="shared" si="46"/>
        <v>1.9661896853615548</v>
      </c>
      <c r="L44" s="125">
        <f t="shared" si="0"/>
        <v>2.0032736063703469</v>
      </c>
      <c r="M44" s="126">
        <f t="shared" si="1"/>
        <v>7.4189228215504083E-2</v>
      </c>
      <c r="N44" s="126">
        <f t="shared" si="47"/>
        <v>3.7033996743921889</v>
      </c>
      <c r="P44" s="138">
        <f t="shared" si="48"/>
        <v>420.68745733777286</v>
      </c>
      <c r="Q44" s="138">
        <f t="shared" si="49"/>
        <v>325.79239999999999</v>
      </c>
      <c r="R44" s="138">
        <f t="shared" si="50"/>
        <v>420.68745733777286</v>
      </c>
      <c r="S44" s="138">
        <f t="shared" si="51"/>
        <v>398.8373648404704</v>
      </c>
      <c r="T44" s="138">
        <f t="shared" si="52"/>
        <v>459.76947821178254</v>
      </c>
      <c r="U44" s="138">
        <f t="shared" si="53"/>
        <v>420.68745733777286</v>
      </c>
      <c r="V44" s="138">
        <f t="shared" si="54"/>
        <v>299.928</v>
      </c>
      <c r="W44" s="138">
        <f t="shared" si="55"/>
        <v>392.3413735807959</v>
      </c>
      <c r="X44" s="138">
        <f t="shared" si="56"/>
        <v>57.689175892431088</v>
      </c>
      <c r="Y44" s="138">
        <f t="shared" si="57"/>
        <v>14.703821665789985</v>
      </c>
      <c r="AA44" s="227">
        <f t="shared" si="228"/>
        <v>0.44989099999999999</v>
      </c>
      <c r="AB44" s="227">
        <f t="shared" si="229"/>
        <v>0.40559128630705393</v>
      </c>
      <c r="AC44" s="227">
        <f t="shared" si="230"/>
        <v>0.47</v>
      </c>
      <c r="AD44" s="227">
        <f t="shared" si="231"/>
        <v>0.44989099999999999</v>
      </c>
      <c r="AE44" s="227">
        <f t="shared" si="62"/>
        <v>0.44384332157676348</v>
      </c>
      <c r="AF44" s="227">
        <f t="shared" si="63"/>
        <v>2.7206242280240697E-2</v>
      </c>
      <c r="AG44" s="227">
        <f t="shared" si="64"/>
        <v>6.1296950878048371</v>
      </c>
      <c r="AI44" s="228">
        <f t="shared" si="65"/>
        <v>4.4819044459743953</v>
      </c>
      <c r="AJ44" s="228">
        <f t="shared" si="66"/>
        <v>4.4819044459743953</v>
      </c>
      <c r="AK44" s="228">
        <f t="shared" si="67"/>
        <v>4.4819044459743953</v>
      </c>
      <c r="AL44" s="228">
        <f t="shared" si="68"/>
        <v>7.1273518898681241</v>
      </c>
      <c r="AM44" s="228">
        <f t="shared" si="69"/>
        <v>4.28</v>
      </c>
      <c r="AN44" s="228">
        <f t="shared" si="70"/>
        <v>5.1663497567414254</v>
      </c>
      <c r="AO44" s="228">
        <f t="shared" si="71"/>
        <v>4.593120559382192</v>
      </c>
      <c r="AP44" s="228">
        <f t="shared" si="72"/>
        <v>4.9446479348449897</v>
      </c>
      <c r="AQ44" s="228">
        <f t="shared" si="73"/>
        <v>1.0017543973429521</v>
      </c>
      <c r="AR44" s="228">
        <f t="shared" si="74"/>
        <v>20.259367512974535</v>
      </c>
      <c r="AT44" s="229">
        <f t="shared" si="75"/>
        <v>1.4106018194541636</v>
      </c>
      <c r="AU44" s="229">
        <f t="shared" si="76"/>
        <v>1.47</v>
      </c>
      <c r="AV44" s="229">
        <f t="shared" si="77"/>
        <v>1.339822720290796</v>
      </c>
      <c r="AW44" s="229">
        <f t="shared" si="78"/>
        <v>1.4106018194541636</v>
      </c>
      <c r="AX44" s="229">
        <f t="shared" si="79"/>
        <v>0.75115677464565644</v>
      </c>
      <c r="AY44" s="229">
        <f t="shared" si="80"/>
        <v>1.3</v>
      </c>
      <c r="AZ44" s="229">
        <f t="shared" si="81"/>
        <v>1.2999999998940592</v>
      </c>
      <c r="BA44" s="229">
        <f t="shared" si="82"/>
        <v>1.2505507894585872</v>
      </c>
      <c r="BB44" s="229">
        <f t="shared" si="83"/>
        <v>1.2790917403996784</v>
      </c>
      <c r="BC44" s="229">
        <f t="shared" si="84"/>
        <v>0.22523899746996087</v>
      </c>
      <c r="BD44" s="229">
        <f t="shared" si="85"/>
        <v>17.609291840128709</v>
      </c>
      <c r="BF44" s="230">
        <f t="shared" si="86"/>
        <v>11.73</v>
      </c>
      <c r="BG44" s="230">
        <f t="shared" si="87"/>
        <v>6.27</v>
      </c>
      <c r="BH44" s="230">
        <f t="shared" si="88"/>
        <v>6.6146461538434513</v>
      </c>
      <c r="BI44" s="230">
        <f t="shared" si="192"/>
        <v>8.2048820512811513</v>
      </c>
      <c r="BJ44" s="230">
        <f t="shared" si="193"/>
        <v>3.0577013682053082</v>
      </c>
      <c r="BK44" s="230">
        <f t="shared" si="89"/>
        <v>37.266853430609196</v>
      </c>
      <c r="BM44" s="227">
        <f t="shared" si="90"/>
        <v>31.73</v>
      </c>
      <c r="BN44" s="227">
        <f t="shared" si="91"/>
        <v>24.546704033949403</v>
      </c>
      <c r="BO44" s="227">
        <f t="shared" si="92"/>
        <v>22.795666180345737</v>
      </c>
      <c r="BP44" s="227">
        <f t="shared" si="93"/>
        <v>24.546704033949403</v>
      </c>
      <c r="BQ44" s="227">
        <f t="shared" si="94"/>
        <v>15.17</v>
      </c>
      <c r="BR44" s="227">
        <f t="shared" si="95"/>
        <v>22.466245009682325</v>
      </c>
      <c r="BS44" s="227">
        <f t="shared" si="96"/>
        <v>19.95</v>
      </c>
      <c r="BT44" s="227">
        <f t="shared" si="194"/>
        <v>23.029331322560981</v>
      </c>
      <c r="BU44" s="227">
        <f t="shared" si="195"/>
        <v>5.0320557620027691</v>
      </c>
      <c r="BV44" s="227">
        <f t="shared" si="97"/>
        <v>21.850637743324537</v>
      </c>
      <c r="BX44" s="231">
        <f t="shared" si="98"/>
        <v>0.33484196407225075</v>
      </c>
      <c r="BY44" s="231">
        <f t="shared" si="99"/>
        <v>0.30914171031996174</v>
      </c>
      <c r="BZ44" s="231">
        <f t="shared" si="100"/>
        <v>0.32161244700746677</v>
      </c>
      <c r="CA44" s="231">
        <f t="shared" si="101"/>
        <v>0.24</v>
      </c>
      <c r="CB44" s="231">
        <f t="shared" si="102"/>
        <v>0.36564726017486421</v>
      </c>
      <c r="CC44" s="231">
        <f t="shared" si="103"/>
        <v>0.31743459843823241</v>
      </c>
      <c r="CD44" s="231">
        <f t="shared" si="104"/>
        <v>0.48</v>
      </c>
      <c r="CE44" s="231">
        <f t="shared" si="105"/>
        <v>0.45739406880815187</v>
      </c>
      <c r="CF44" s="231">
        <f t="shared" si="106"/>
        <v>0.35325900610261596</v>
      </c>
      <c r="CG44" s="231">
        <f t="shared" si="107"/>
        <v>7.9694844995935099E-2</v>
      </c>
      <c r="CH44" s="231">
        <f t="shared" si="196"/>
        <v>22.559890510699407</v>
      </c>
      <c r="CJ44" s="232">
        <f t="shared" si="108"/>
        <v>1.5040697665897471</v>
      </c>
      <c r="CK44" s="232">
        <f t="shared" si="109"/>
        <v>1.5040697665897471</v>
      </c>
      <c r="CL44" s="232">
        <f t="shared" si="110"/>
        <v>2.1</v>
      </c>
      <c r="CM44" s="232">
        <f t="shared" si="111"/>
        <v>1.8608139562492809</v>
      </c>
      <c r="CN44" s="232">
        <f t="shared" si="112"/>
        <v>1.8958384347613813</v>
      </c>
      <c r="CO44" s="232">
        <f t="shared" si="113"/>
        <v>1.5213250324423151</v>
      </c>
      <c r="CP44" s="232">
        <f t="shared" si="114"/>
        <v>1.5050171662254594</v>
      </c>
      <c r="CQ44" s="232">
        <f t="shared" si="115"/>
        <v>1.8651849733929835</v>
      </c>
      <c r="CR44" s="232">
        <f t="shared" si="116"/>
        <v>3.9820634278883906</v>
      </c>
      <c r="CS44" s="232">
        <f t="shared" si="117"/>
        <v>1.41</v>
      </c>
      <c r="CT44" s="232">
        <f t="shared" si="118"/>
        <v>1.412309901779101</v>
      </c>
      <c r="CU44" s="232">
        <f t="shared" si="119"/>
        <v>1.869153856901673</v>
      </c>
      <c r="CV44" s="232">
        <f t="shared" si="120"/>
        <v>0.73879334322151913</v>
      </c>
      <c r="CW44" s="232">
        <f t="shared" si="197"/>
        <v>39.525550050018346</v>
      </c>
      <c r="CY44" s="229">
        <f t="shared" si="198"/>
        <v>1.19</v>
      </c>
      <c r="CZ44" s="229">
        <f t="shared" si="199"/>
        <v>0.73530018604520697</v>
      </c>
      <c r="DA44" s="229">
        <f t="shared" si="200"/>
        <v>0.52457844809397247</v>
      </c>
      <c r="DB44" s="229">
        <f t="shared" si="201"/>
        <v>1.1909274862938921</v>
      </c>
      <c r="DC44" s="229">
        <f t="shared" si="202"/>
        <v>0.57999999999999996</v>
      </c>
      <c r="DD44" s="229">
        <f t="shared" si="203"/>
        <v>0.55637612764907662</v>
      </c>
      <c r="DE44" s="229">
        <f t="shared" si="204"/>
        <v>0.8</v>
      </c>
      <c r="DF44" s="229">
        <f t="shared" si="205"/>
        <v>0.79674032115459248</v>
      </c>
      <c r="DG44" s="229">
        <f t="shared" si="206"/>
        <v>0.28654424014341551</v>
      </c>
      <c r="DH44" s="229">
        <f t="shared" si="207"/>
        <v>35.964571207864978</v>
      </c>
      <c r="DJ44" s="234">
        <f t="shared" si="121"/>
        <v>0.11763380984580477</v>
      </c>
      <c r="DK44" s="234">
        <f t="shared" si="122"/>
        <v>0.15896460789973618</v>
      </c>
      <c r="DL44" s="234">
        <f t="shared" si="123"/>
        <v>0.11631150940775259</v>
      </c>
      <c r="DM44" s="234">
        <f t="shared" si="208"/>
        <v>0.1309699757177645</v>
      </c>
      <c r="DN44" s="234">
        <f t="shared" si="209"/>
        <v>2.4253075946465655E-2</v>
      </c>
      <c r="DO44" s="234">
        <f t="shared" si="210"/>
        <v>18.518042638054805</v>
      </c>
      <c r="DQ44" s="229">
        <f t="shared" si="124"/>
        <v>3.49</v>
      </c>
      <c r="DR44" s="229">
        <f t="shared" si="125"/>
        <v>3.8367066585790219</v>
      </c>
      <c r="DS44" s="229">
        <f t="shared" si="126"/>
        <v>3.0049104095555204</v>
      </c>
      <c r="DT44" s="229">
        <f t="shared" si="127"/>
        <v>2.6524788299693349</v>
      </c>
      <c r="DU44" s="229">
        <f t="shared" si="128"/>
        <v>3.8367066585790219</v>
      </c>
      <c r="DV44" s="229">
        <f t="shared" si="129"/>
        <v>1.97</v>
      </c>
      <c r="DW44" s="229">
        <f t="shared" si="130"/>
        <v>1.532</v>
      </c>
      <c r="DX44" s="229">
        <f t="shared" si="131"/>
        <v>3.4750812168125171</v>
      </c>
      <c r="DY44" s="229">
        <f t="shared" si="211"/>
        <v>2.9747354716869268</v>
      </c>
      <c r="DZ44" s="229">
        <f t="shared" si="212"/>
        <v>0.86169027682336019</v>
      </c>
      <c r="EA44" s="229">
        <f t="shared" si="213"/>
        <v>28.96695470991607</v>
      </c>
      <c r="EC44" s="235">
        <f t="shared" si="132"/>
        <v>0.21279666623222024</v>
      </c>
      <c r="ED44" s="235">
        <f t="shared" si="133"/>
        <v>0.15</v>
      </c>
      <c r="EE44" s="235">
        <f t="shared" si="134"/>
        <v>0.1748610686897098</v>
      </c>
      <c r="EF44" s="235">
        <f t="shared" si="135"/>
        <v>0.14619991851857159</v>
      </c>
      <c r="EG44" s="235">
        <f t="shared" si="136"/>
        <v>0.17096441336012541</v>
      </c>
      <c r="EH44" s="235">
        <f t="shared" si="137"/>
        <v>3.0648045807218017E-2</v>
      </c>
      <c r="EI44" s="235">
        <f t="shared" si="214"/>
        <v>17.926564484890726</v>
      </c>
      <c r="EK44" s="236">
        <f t="shared" si="138"/>
        <v>20.705381659388649</v>
      </c>
      <c r="EL44" s="236">
        <f t="shared" si="139"/>
        <v>30.200801030886002</v>
      </c>
      <c r="EM44" s="236">
        <f t="shared" si="140"/>
        <v>30.848622094878451</v>
      </c>
      <c r="EN44" s="236">
        <f t="shared" si="141"/>
        <v>14.4</v>
      </c>
      <c r="EO44" s="236">
        <f t="shared" si="142"/>
        <v>29.303344924465968</v>
      </c>
      <c r="EP44" s="236">
        <f t="shared" si="143"/>
        <v>30.848622094878451</v>
      </c>
      <c r="EQ44" s="236">
        <f t="shared" si="144"/>
        <v>32.673700471228877</v>
      </c>
      <c r="ER44" s="236">
        <f t="shared" si="145"/>
        <v>26.997210325103772</v>
      </c>
      <c r="ES44" s="236">
        <f t="shared" si="146"/>
        <v>6.7792250264310869</v>
      </c>
      <c r="ET44" s="236">
        <f t="shared" si="215"/>
        <v>25.110835322593754</v>
      </c>
      <c r="EV44" s="238">
        <f t="shared" si="147"/>
        <v>1.5896460789973619E-2</v>
      </c>
      <c r="EW44" s="238">
        <f t="shared" si="148"/>
        <v>1.5896460789973619E-2</v>
      </c>
      <c r="EX44" s="238" t="e">
        <f t="shared" si="149"/>
        <v>#DIV/0!</v>
      </c>
      <c r="EY44" s="238" t="e">
        <f t="shared" si="216"/>
        <v>#DIV/0!</v>
      </c>
      <c r="FA44" s="240">
        <f t="shared" si="150"/>
        <v>0.49279028448918211</v>
      </c>
      <c r="FB44" s="240">
        <f t="shared" si="151"/>
        <v>0.66208759190240118</v>
      </c>
      <c r="FC44" s="240">
        <f t="shared" si="152"/>
        <v>0.57743893819579162</v>
      </c>
      <c r="FD44" s="240">
        <f t="shared" si="153"/>
        <v>0.11971127410851132</v>
      </c>
      <c r="FE44" s="240">
        <f t="shared" si="217"/>
        <v>20.731416984547195</v>
      </c>
      <c r="FG44" s="236">
        <f t="shared" si="154"/>
        <v>1.2</v>
      </c>
      <c r="FH44" s="236">
        <f t="shared" si="155"/>
        <v>1.3887842988729184</v>
      </c>
      <c r="FI44" s="236">
        <f t="shared" si="156"/>
        <v>1.3114580151728235</v>
      </c>
      <c r="FJ44" s="236">
        <f t="shared" si="157"/>
        <v>0.92</v>
      </c>
      <c r="FK44" s="236">
        <f t="shared" si="158"/>
        <v>1.2717168631978895</v>
      </c>
      <c r="FL44" s="236">
        <f t="shared" si="159"/>
        <v>0.9</v>
      </c>
      <c r="FM44" s="236">
        <f t="shared" si="160"/>
        <v>1.1653265295406052</v>
      </c>
      <c r="FN44" s="236">
        <f t="shared" si="161"/>
        <v>0.20707110459547781</v>
      </c>
      <c r="FO44" s="236">
        <f t="shared" si="218"/>
        <v>17.769363294003899</v>
      </c>
      <c r="FQ44" s="227">
        <f t="shared" si="162"/>
        <v>0.32</v>
      </c>
      <c r="FR44" s="227">
        <f t="shared" si="163"/>
        <v>0.34743886844771393</v>
      </c>
      <c r="FS44" s="227">
        <f t="shared" si="164"/>
        <v>0.34743886844771393</v>
      </c>
      <c r="FT44" s="227">
        <f t="shared" si="165"/>
        <v>0.24</v>
      </c>
      <c r="FU44" s="227">
        <f t="shared" si="166"/>
        <v>0.33120276055910025</v>
      </c>
      <c r="FV44" s="227">
        <f t="shared" si="219"/>
        <v>0.31721609949090562</v>
      </c>
      <c r="FW44" s="227">
        <f t="shared" si="220"/>
        <v>4.4700487517765466E-2</v>
      </c>
      <c r="FX44" s="227">
        <f t="shared" si="221"/>
        <v>14.091493965629256</v>
      </c>
      <c r="FZ44" s="230">
        <f t="shared" si="167"/>
        <v>1.6691283829472299</v>
      </c>
      <c r="GA44" s="230">
        <f t="shared" si="168"/>
        <v>2.4700000000000002</v>
      </c>
      <c r="GB44" s="230">
        <f t="shared" si="169"/>
        <v>3.5659424193407845</v>
      </c>
      <c r="GC44" s="230">
        <f t="shared" si="170"/>
        <v>2.5683569340960051</v>
      </c>
      <c r="GD44" s="230">
        <f t="shared" si="171"/>
        <v>0.9522244677745253</v>
      </c>
      <c r="GE44" s="230">
        <f t="shared" si="222"/>
        <v>37.075238847581893</v>
      </c>
      <c r="GG44" s="231">
        <f t="shared" si="172"/>
        <v>0.11127522552981531</v>
      </c>
      <c r="GH44" s="231">
        <f t="shared" si="173"/>
        <v>0.05</v>
      </c>
      <c r="GI44" s="231">
        <f t="shared" si="174"/>
        <v>0.05</v>
      </c>
      <c r="GJ44" s="231">
        <f t="shared" si="175"/>
        <v>0.12335653573019527</v>
      </c>
      <c r="GK44" s="245">
        <f t="shared" si="186"/>
        <v>7.4452178576731753E-2</v>
      </c>
      <c r="GL44" s="231">
        <f t="shared" si="187"/>
        <v>4.2352415650646652E-2</v>
      </c>
      <c r="GM44" s="231">
        <f t="shared" si="223"/>
        <v>56.885394706076319</v>
      </c>
      <c r="GO44" s="246">
        <f t="shared" si="176"/>
        <v>0.18</v>
      </c>
      <c r="GP44" s="246">
        <f t="shared" si="177"/>
        <v>0.18280929908469659</v>
      </c>
      <c r="GQ44" s="247">
        <f t="shared" si="188"/>
        <v>0.18140464954234831</v>
      </c>
      <c r="GR44" s="246">
        <f t="shared" si="189"/>
        <v>1.9864744331701259E-3</v>
      </c>
      <c r="GS44" s="246">
        <f t="shared" si="224"/>
        <v>1.0950515536297707</v>
      </c>
      <c r="GU44" s="249">
        <f t="shared" si="178"/>
        <v>2.2517336708997627E-2</v>
      </c>
      <c r="GV44" s="249">
        <f t="shared" si="179"/>
        <v>2.2517336708997627E-2</v>
      </c>
      <c r="GW44" s="249" t="e">
        <f t="shared" si="180"/>
        <v>#DIV/0!</v>
      </c>
      <c r="GX44" s="249" t="e">
        <f t="shared" si="225"/>
        <v>#DIV/0!</v>
      </c>
      <c r="GZ44" s="240">
        <f t="shared" si="181"/>
        <v>2.3844691184960427E-2</v>
      </c>
      <c r="HA44" s="240">
        <f t="shared" si="182"/>
        <v>2.3844691184960427E-2</v>
      </c>
      <c r="HB44" s="240" t="e">
        <f t="shared" si="183"/>
        <v>#DIV/0!</v>
      </c>
      <c r="HC44" s="240" t="e">
        <f t="shared" si="226"/>
        <v>#DIV/0!</v>
      </c>
      <c r="HE44" s="234">
        <f t="shared" si="184"/>
        <v>9.4153741700343005E-2</v>
      </c>
      <c r="HF44" s="234">
        <f t="shared" si="185"/>
        <v>9.4153741700343005E-2</v>
      </c>
      <c r="HG44" s="251">
        <f t="shared" si="190"/>
        <v>9.4153741700343005E-2</v>
      </c>
      <c r="HH44" s="234">
        <f t="shared" si="191"/>
        <v>0</v>
      </c>
      <c r="HI44" s="234">
        <f t="shared" si="227"/>
        <v>0</v>
      </c>
    </row>
    <row r="45" spans="2:217" ht="15.6" x14ac:dyDescent="0.25">
      <c r="B45">
        <v>41</v>
      </c>
      <c r="C45" s="124">
        <f t="shared" si="38"/>
        <v>79.637081701897955</v>
      </c>
      <c r="D45" s="124">
        <f t="shared" si="39"/>
        <v>174.72091106311018</v>
      </c>
      <c r="E45" s="29">
        <f t="shared" si="40"/>
        <v>2.1671225683887676</v>
      </c>
      <c r="F45" s="29">
        <f t="shared" si="41"/>
        <v>1.9788451122242676</v>
      </c>
      <c r="G45" s="29">
        <f t="shared" si="42"/>
        <v>1.9500259192254294</v>
      </c>
      <c r="H45" s="29">
        <f t="shared" si="43"/>
        <v>1.9780030504743853</v>
      </c>
      <c r="I45" s="29">
        <f t="shared" si="44"/>
        <v>2.0033670200544749</v>
      </c>
      <c r="J45" s="29">
        <f t="shared" si="45"/>
        <v>1.9780030504743851</v>
      </c>
      <c r="K45" s="29">
        <f t="shared" si="46"/>
        <v>1.9659789383241504</v>
      </c>
      <c r="L45" s="125">
        <f t="shared" si="0"/>
        <v>2.0030493798808373</v>
      </c>
      <c r="M45" s="126">
        <f t="shared" si="1"/>
        <v>7.4101620434133042E-2</v>
      </c>
      <c r="N45" s="126">
        <f t="shared" si="47"/>
        <v>3.6994405219576461</v>
      </c>
      <c r="P45" s="138">
        <f t="shared" si="48"/>
        <v>420.64036977497585</v>
      </c>
      <c r="Q45" s="138">
        <f t="shared" si="49"/>
        <v>325.79239999999999</v>
      </c>
      <c r="R45" s="138">
        <f t="shared" si="50"/>
        <v>420.64036977497585</v>
      </c>
      <c r="S45" s="138">
        <f t="shared" si="51"/>
        <v>396.95963425830644</v>
      </c>
      <c r="T45" s="138">
        <f t="shared" si="52"/>
        <v>460.46902195411786</v>
      </c>
      <c r="U45" s="138">
        <f t="shared" si="53"/>
        <v>420.64036977497585</v>
      </c>
      <c r="V45" s="138">
        <f t="shared" si="54"/>
        <v>297.53478000000001</v>
      </c>
      <c r="W45" s="138">
        <f t="shared" si="55"/>
        <v>391.81099221962171</v>
      </c>
      <c r="X45" s="138">
        <f t="shared" si="56"/>
        <v>58.42415496706402</v>
      </c>
      <c r="Y45" s="138">
        <f t="shared" si="57"/>
        <v>14.911310843039224</v>
      </c>
      <c r="AA45" s="227">
        <f t="shared" si="228"/>
        <v>0.44963394415000002</v>
      </c>
      <c r="AB45" s="227">
        <f t="shared" si="229"/>
        <v>0.40583333333333332</v>
      </c>
      <c r="AC45" s="227">
        <f t="shared" si="230"/>
        <v>0.47</v>
      </c>
      <c r="AD45" s="227">
        <f t="shared" si="231"/>
        <v>0.44963394415000002</v>
      </c>
      <c r="AE45" s="227">
        <f t="shared" si="62"/>
        <v>0.44377530540833332</v>
      </c>
      <c r="AF45" s="227">
        <f t="shared" si="63"/>
        <v>2.7055345418709069E-2</v>
      </c>
      <c r="AG45" s="227">
        <f t="shared" si="64"/>
        <v>6.0966315811138907</v>
      </c>
      <c r="AI45" s="228">
        <f t="shared" si="65"/>
        <v>4.4812983477488437</v>
      </c>
      <c r="AJ45" s="228">
        <f t="shared" si="66"/>
        <v>4.4812983477488437</v>
      </c>
      <c r="AK45" s="228">
        <f t="shared" si="67"/>
        <v>4.4812983477488437</v>
      </c>
      <c r="AL45" s="228">
        <f t="shared" si="68"/>
        <v>7.141226836298098</v>
      </c>
      <c r="AM45" s="228">
        <f t="shared" si="69"/>
        <v>4.28</v>
      </c>
      <c r="AN45" s="228">
        <f t="shared" si="70"/>
        <v>5.1764103106233676</v>
      </c>
      <c r="AO45" s="228">
        <f t="shared" si="71"/>
        <v>4.5925578778141762</v>
      </c>
      <c r="AP45" s="228">
        <f t="shared" si="72"/>
        <v>4.9477271525688815</v>
      </c>
      <c r="AQ45" s="228">
        <f t="shared" si="73"/>
        <v>1.0073404839148661</v>
      </c>
      <c r="AR45" s="228">
        <f t="shared" si="74"/>
        <v>20.359661170722614</v>
      </c>
      <c r="AT45" s="229">
        <f t="shared" si="75"/>
        <v>1.4114170538398469</v>
      </c>
      <c r="AU45" s="229">
        <f t="shared" si="76"/>
        <v>1.47</v>
      </c>
      <c r="AV45" s="229">
        <f t="shared" si="77"/>
        <v>1.3366969407641582</v>
      </c>
      <c r="AW45" s="229">
        <f t="shared" si="78"/>
        <v>1.4114170538398469</v>
      </c>
      <c r="AX45" s="229">
        <f t="shared" si="79"/>
        <v>0.76884917620652427</v>
      </c>
      <c r="AY45" s="229">
        <f t="shared" si="80"/>
        <v>1.3</v>
      </c>
      <c r="AZ45" s="229">
        <f t="shared" si="81"/>
        <v>1.2999999999402674</v>
      </c>
      <c r="BA45" s="229">
        <f t="shared" si="82"/>
        <v>1.2485642119744473</v>
      </c>
      <c r="BB45" s="229">
        <f t="shared" si="83"/>
        <v>1.2808680545706363</v>
      </c>
      <c r="BC45" s="229">
        <f t="shared" si="84"/>
        <v>0.21938640811302723</v>
      </c>
      <c r="BD45" s="229">
        <f t="shared" si="85"/>
        <v>17.127947514201093</v>
      </c>
      <c r="BF45" s="230">
        <f t="shared" si="86"/>
        <v>11.73</v>
      </c>
      <c r="BG45" s="230">
        <f t="shared" si="87"/>
        <v>6.27</v>
      </c>
      <c r="BH45" s="230">
        <f t="shared" si="88"/>
        <v>6.6146461538451593</v>
      </c>
      <c r="BI45" s="230">
        <f t="shared" si="192"/>
        <v>8.2048820512817198</v>
      </c>
      <c r="BJ45" s="230">
        <f t="shared" si="193"/>
        <v>3.0577013682048646</v>
      </c>
      <c r="BK45" s="230">
        <f t="shared" si="89"/>
        <v>37.266853430601209</v>
      </c>
      <c r="BM45" s="227">
        <f t="shared" si="90"/>
        <v>31.73</v>
      </c>
      <c r="BN45" s="227">
        <f t="shared" si="91"/>
        <v>24.541378343555877</v>
      </c>
      <c r="BO45" s="227">
        <f t="shared" si="92"/>
        <v>22.810148249137701</v>
      </c>
      <c r="BP45" s="227">
        <f t="shared" si="93"/>
        <v>24.541378343555877</v>
      </c>
      <c r="BQ45" s="227">
        <f t="shared" si="94"/>
        <v>15.17</v>
      </c>
      <c r="BR45" s="227">
        <f t="shared" si="95"/>
        <v>22.414581042992619</v>
      </c>
      <c r="BS45" s="227">
        <f t="shared" si="96"/>
        <v>19.95</v>
      </c>
      <c r="BT45" s="227">
        <f t="shared" si="194"/>
        <v>23.022497997034581</v>
      </c>
      <c r="BU45" s="227">
        <f t="shared" si="195"/>
        <v>5.0324150981313318</v>
      </c>
      <c r="BV45" s="227">
        <f t="shared" si="97"/>
        <v>21.858684052354064</v>
      </c>
      <c r="BX45" s="231">
        <f t="shared" si="98"/>
        <v>0.33447267361273281</v>
      </c>
      <c r="BY45" s="231">
        <f t="shared" si="99"/>
        <v>0.30928951239621466</v>
      </c>
      <c r="BZ45" s="231">
        <f t="shared" si="100"/>
        <v>0.32206723513074398</v>
      </c>
      <c r="CA45" s="231">
        <f t="shared" si="101"/>
        <v>0.24</v>
      </c>
      <c r="CB45" s="231">
        <f t="shared" si="102"/>
        <v>0.36635359938377804</v>
      </c>
      <c r="CC45" s="231">
        <f t="shared" si="103"/>
        <v>0.31705401213892498</v>
      </c>
      <c r="CD45" s="231">
        <f t="shared" si="104"/>
        <v>0.48</v>
      </c>
      <c r="CE45" s="231">
        <f t="shared" si="105"/>
        <v>0.45590201884180953</v>
      </c>
      <c r="CF45" s="231">
        <f t="shared" si="106"/>
        <v>0.35314238143802551</v>
      </c>
      <c r="CG45" s="231">
        <f t="shared" si="107"/>
        <v>7.9433530571899044E-2</v>
      </c>
      <c r="CH45" s="231">
        <f t="shared" si="196"/>
        <v>22.493343973169978</v>
      </c>
      <c r="CJ45" s="232">
        <f t="shared" si="108"/>
        <v>1.5038693397687692</v>
      </c>
      <c r="CK45" s="232">
        <f t="shared" si="109"/>
        <v>1.5038693397687692</v>
      </c>
      <c r="CL45" s="232">
        <f t="shared" si="110"/>
        <v>2.1</v>
      </c>
      <c r="CM45" s="232">
        <f t="shared" si="111"/>
        <v>1.8634161230649984</v>
      </c>
      <c r="CN45" s="232">
        <f t="shared" si="112"/>
        <v>1.8967500542754543</v>
      </c>
      <c r="CO45" s="232">
        <f t="shared" si="113"/>
        <v>1.5236352971122218</v>
      </c>
      <c r="CP45" s="232">
        <f t="shared" si="114"/>
        <v>1.5048166131574807</v>
      </c>
      <c r="CQ45" s="232">
        <f t="shared" si="115"/>
        <v>1.8686486878383881</v>
      </c>
      <c r="CR45" s="232">
        <f t="shared" si="116"/>
        <v>3.9898177932650873</v>
      </c>
      <c r="CS45" s="232">
        <f t="shared" si="117"/>
        <v>1.41</v>
      </c>
      <c r="CT45" s="232">
        <f t="shared" si="118"/>
        <v>1.4108420327246558</v>
      </c>
      <c r="CU45" s="232">
        <f t="shared" si="119"/>
        <v>1.8705150255432565</v>
      </c>
      <c r="CV45" s="232">
        <f t="shared" si="120"/>
        <v>0.7410224065998342</v>
      </c>
      <c r="CW45" s="232">
        <f t="shared" si="197"/>
        <v>39.615955845348957</v>
      </c>
      <c r="CY45" s="229">
        <f t="shared" si="198"/>
        <v>1.19</v>
      </c>
      <c r="CZ45" s="229">
        <f t="shared" si="199"/>
        <v>0.73853724157210254</v>
      </c>
      <c r="DA45" s="229">
        <f t="shared" si="200"/>
        <v>0.5230421978868981</v>
      </c>
      <c r="DB45" s="229">
        <f t="shared" si="201"/>
        <v>1.1926857720745401</v>
      </c>
      <c r="DC45" s="229">
        <f t="shared" si="202"/>
        <v>0.57999999999999996</v>
      </c>
      <c r="DD45" s="229">
        <f t="shared" si="203"/>
        <v>0.55745957191328566</v>
      </c>
      <c r="DE45" s="229">
        <f t="shared" si="204"/>
        <v>0.8</v>
      </c>
      <c r="DF45" s="229">
        <f t="shared" si="205"/>
        <v>0.79738925477811795</v>
      </c>
      <c r="DG45" s="229">
        <f t="shared" si="206"/>
        <v>0.28692727235801313</v>
      </c>
      <c r="DH45" s="229">
        <f t="shared" si="207"/>
        <v>35.98333820510959</v>
      </c>
      <c r="DJ45" s="234">
        <f t="shared" si="121"/>
        <v>0.11786288091880898</v>
      </c>
      <c r="DK45" s="234">
        <f t="shared" si="122"/>
        <v>0.15927416340379591</v>
      </c>
      <c r="DL45" s="234">
        <f t="shared" si="123"/>
        <v>0.1161711454489259</v>
      </c>
      <c r="DM45" s="234">
        <f t="shared" si="208"/>
        <v>0.13110272992384361</v>
      </c>
      <c r="DN45" s="234">
        <f t="shared" si="209"/>
        <v>2.441183607313354E-2</v>
      </c>
      <c r="DO45" s="234">
        <f t="shared" si="210"/>
        <v>18.620387300336276</v>
      </c>
      <c r="DQ45" s="229">
        <f t="shared" si="124"/>
        <v>3.49</v>
      </c>
      <c r="DR45" s="229">
        <f t="shared" si="125"/>
        <v>3.8362763235564099</v>
      </c>
      <c r="DS45" s="229">
        <f t="shared" si="126"/>
        <v>3.0045740698212557</v>
      </c>
      <c r="DT45" s="229">
        <f t="shared" si="127"/>
        <v>2.6565642601159594</v>
      </c>
      <c r="DU45" s="229">
        <f t="shared" si="128"/>
        <v>3.8362763235564099</v>
      </c>
      <c r="DV45" s="229">
        <f t="shared" si="129"/>
        <v>1.97</v>
      </c>
      <c r="DW45" s="229">
        <f t="shared" si="130"/>
        <v>1.5703</v>
      </c>
      <c r="DX45" s="229">
        <f t="shared" si="131"/>
        <v>3.4738035551154129</v>
      </c>
      <c r="DY45" s="229">
        <f t="shared" si="211"/>
        <v>2.9797243165206808</v>
      </c>
      <c r="DZ45" s="229">
        <f t="shared" si="212"/>
        <v>0.85213415110382418</v>
      </c>
      <c r="EA45" s="229">
        <f t="shared" si="213"/>
        <v>28.597751355025729</v>
      </c>
      <c r="EC45" s="235">
        <f t="shared" si="132"/>
        <v>0.21314239407421076</v>
      </c>
      <c r="ED45" s="235">
        <f t="shared" si="133"/>
        <v>0.15</v>
      </c>
      <c r="EE45" s="235">
        <f t="shared" si="134"/>
        <v>0.17520157974417552</v>
      </c>
      <c r="EF45" s="235">
        <f t="shared" si="135"/>
        <v>0.146035450312546</v>
      </c>
      <c r="EG45" s="235">
        <f t="shared" si="136"/>
        <v>0.17109485603273306</v>
      </c>
      <c r="EH45" s="235">
        <f t="shared" si="137"/>
        <v>3.0864366730812956E-2</v>
      </c>
      <c r="EI45" s="235">
        <f t="shared" si="214"/>
        <v>18.039330606706336</v>
      </c>
      <c r="EK45" s="236">
        <f t="shared" si="138"/>
        <v>20.705381659388649</v>
      </c>
      <c r="EL45" s="236">
        <f t="shared" si="139"/>
        <v>30.424636748202587</v>
      </c>
      <c r="EM45" s="236">
        <f t="shared" si="140"/>
        <v>31.077259191218172</v>
      </c>
      <c r="EN45" s="236">
        <f t="shared" si="141"/>
        <v>14.4</v>
      </c>
      <c r="EO45" s="236">
        <f t="shared" si="142"/>
        <v>29.4720237704665</v>
      </c>
      <c r="EP45" s="236">
        <f t="shared" si="143"/>
        <v>31.077259191218172</v>
      </c>
      <c r="EQ45" s="236">
        <f t="shared" si="144"/>
        <v>32.804662756857077</v>
      </c>
      <c r="ER45" s="236">
        <f t="shared" si="145"/>
        <v>27.137317616764452</v>
      </c>
      <c r="ES45" s="236">
        <f t="shared" si="146"/>
        <v>6.8681809853279701</v>
      </c>
      <c r="ET45" s="236">
        <f t="shared" si="215"/>
        <v>25.30898993895055</v>
      </c>
      <c r="EV45" s="238">
        <f t="shared" si="147"/>
        <v>1.5927416340379592E-2</v>
      </c>
      <c r="EW45" s="238">
        <f t="shared" si="148"/>
        <v>1.5927416340379592E-2</v>
      </c>
      <c r="EX45" s="238" t="e">
        <f t="shared" si="149"/>
        <v>#DIV/0!</v>
      </c>
      <c r="EY45" s="238" t="e">
        <f t="shared" si="216"/>
        <v>#DIV/0!</v>
      </c>
      <c r="FA45" s="240">
        <f t="shared" si="150"/>
        <v>0.49374990655176731</v>
      </c>
      <c r="FB45" s="240">
        <f t="shared" si="151"/>
        <v>0.66337689057681004</v>
      </c>
      <c r="FC45" s="240">
        <f t="shared" si="152"/>
        <v>0.57856339856428862</v>
      </c>
      <c r="FD45" s="240">
        <f t="shared" si="153"/>
        <v>0.11994439067633043</v>
      </c>
      <c r="FE45" s="240">
        <f t="shared" si="217"/>
        <v>20.731416984547199</v>
      </c>
      <c r="FG45" s="236">
        <f t="shared" si="154"/>
        <v>1.2</v>
      </c>
      <c r="FH45" s="236">
        <f t="shared" si="155"/>
        <v>1.3885499184904135</v>
      </c>
      <c r="FI45" s="236">
        <f t="shared" si="156"/>
        <v>1.3140118480813163</v>
      </c>
      <c r="FJ45" s="236">
        <f t="shared" si="157"/>
        <v>0.92</v>
      </c>
      <c r="FK45" s="236">
        <f t="shared" si="158"/>
        <v>1.2741933072303673</v>
      </c>
      <c r="FL45" s="236">
        <f t="shared" si="159"/>
        <v>0.9</v>
      </c>
      <c r="FM45" s="236">
        <f t="shared" si="160"/>
        <v>1.1661258456336829</v>
      </c>
      <c r="FN45" s="236">
        <f t="shared" si="161"/>
        <v>0.20763895111430258</v>
      </c>
      <c r="FO45" s="236">
        <f t="shared" si="218"/>
        <v>17.805878490024359</v>
      </c>
      <c r="FQ45" s="227">
        <f t="shared" si="162"/>
        <v>0.32</v>
      </c>
      <c r="FR45" s="227">
        <f t="shared" si="163"/>
        <v>0.34704967716155977</v>
      </c>
      <c r="FS45" s="227">
        <f t="shared" si="164"/>
        <v>0.34704967716155977</v>
      </c>
      <c r="FT45" s="227">
        <f t="shared" si="165"/>
        <v>0.24</v>
      </c>
      <c r="FU45" s="227">
        <f t="shared" si="166"/>
        <v>0.33184771945180874</v>
      </c>
      <c r="FV45" s="227">
        <f t="shared" si="219"/>
        <v>0.31718941475498569</v>
      </c>
      <c r="FW45" s="227">
        <f t="shared" si="220"/>
        <v>4.4621299785529596E-2</v>
      </c>
      <c r="FX45" s="227">
        <f t="shared" si="221"/>
        <v>14.067714025071584</v>
      </c>
      <c r="FZ45" s="230">
        <f t="shared" si="167"/>
        <v>1.6723787157398571</v>
      </c>
      <c r="GA45" s="230">
        <f t="shared" si="168"/>
        <v>2.4700000000000002</v>
      </c>
      <c r="GB45" s="230">
        <f t="shared" si="169"/>
        <v>3.5742575004866262</v>
      </c>
      <c r="GC45" s="230">
        <f t="shared" si="170"/>
        <v>2.5722120720754944</v>
      </c>
      <c r="GD45" s="230">
        <f t="shared" si="171"/>
        <v>0.95505036973237012</v>
      </c>
      <c r="GE45" s="230">
        <f t="shared" si="222"/>
        <v>37.129534539574287</v>
      </c>
      <c r="GG45" s="231">
        <f t="shared" si="172"/>
        <v>0.11149191438265714</v>
      </c>
      <c r="GH45" s="231">
        <f t="shared" si="173"/>
        <v>0.05</v>
      </c>
      <c r="GI45" s="231">
        <f t="shared" si="174"/>
        <v>0.05</v>
      </c>
      <c r="GJ45" s="231">
        <f t="shared" si="175"/>
        <v>0.12359675080134562</v>
      </c>
      <c r="GK45" s="245">
        <f t="shared" si="186"/>
        <v>7.4532250267115199E-2</v>
      </c>
      <c r="GL45" s="231">
        <f t="shared" si="187"/>
        <v>4.2491103886638695E-2</v>
      </c>
      <c r="GM45" s="231">
        <f t="shared" si="223"/>
        <v>57.010359588440387</v>
      </c>
      <c r="GO45" s="246">
        <f t="shared" si="176"/>
        <v>0.18</v>
      </c>
      <c r="GP45" s="246">
        <f t="shared" si="177"/>
        <v>0.18316528791436529</v>
      </c>
      <c r="GQ45" s="247">
        <f t="shared" si="188"/>
        <v>0.18158264395718265</v>
      </c>
      <c r="GR45" s="246">
        <f t="shared" si="189"/>
        <v>2.2381965486555238E-3</v>
      </c>
      <c r="GS45" s="246">
        <f t="shared" si="224"/>
        <v>1.232604889916292</v>
      </c>
      <c r="GU45" s="249">
        <f t="shared" si="178"/>
        <v>2.256118524614769E-2</v>
      </c>
      <c r="GV45" s="249">
        <f t="shared" si="179"/>
        <v>2.256118524614769E-2</v>
      </c>
      <c r="GW45" s="249" t="e">
        <f t="shared" si="180"/>
        <v>#DIV/0!</v>
      </c>
      <c r="GX45" s="249" t="e">
        <f t="shared" si="225"/>
        <v>#DIV/0!</v>
      </c>
      <c r="GZ45" s="240">
        <f t="shared" si="181"/>
        <v>2.3891124510569389E-2</v>
      </c>
      <c r="HA45" s="240">
        <f t="shared" si="182"/>
        <v>2.3891124510569389E-2</v>
      </c>
      <c r="HB45" s="240" t="e">
        <f t="shared" si="183"/>
        <v>#DIV/0!</v>
      </c>
      <c r="HC45" s="240" t="e">
        <f t="shared" si="226"/>
        <v>#DIV/0!</v>
      </c>
      <c r="HE45" s="234">
        <f t="shared" si="184"/>
        <v>9.433792722525855E-2</v>
      </c>
      <c r="HF45" s="234">
        <f t="shared" si="185"/>
        <v>9.433792722525855E-2</v>
      </c>
      <c r="HG45" s="251">
        <f t="shared" si="190"/>
        <v>9.433792722525855E-2</v>
      </c>
      <c r="HH45" s="234">
        <f t="shared" si="191"/>
        <v>0</v>
      </c>
      <c r="HI45" s="234">
        <f t="shared" si="227"/>
        <v>0</v>
      </c>
    </row>
    <row r="46" spans="2:217" ht="15.6" x14ac:dyDescent="0.25">
      <c r="B46">
        <v>42</v>
      </c>
      <c r="C46" s="124">
        <f t="shared" si="38"/>
        <v>79.776101334513442</v>
      </c>
      <c r="D46" s="124">
        <f t="shared" si="39"/>
        <v>174.40466946281748</v>
      </c>
      <c r="E46" s="29">
        <f t="shared" si="40"/>
        <v>2.1666685968213941</v>
      </c>
      <c r="F46" s="29">
        <f t="shared" si="41"/>
        <v>1.9791097593858391</v>
      </c>
      <c r="G46" s="29">
        <f t="shared" si="42"/>
        <v>1.9489105020134536</v>
      </c>
      <c r="H46" s="29">
        <f t="shared" si="43"/>
        <v>1.978267585020143</v>
      </c>
      <c r="I46" s="29">
        <f t="shared" si="44"/>
        <v>2.0036596796662365</v>
      </c>
      <c r="J46" s="29">
        <f t="shared" si="45"/>
        <v>1.978267585020143</v>
      </c>
      <c r="K46" s="29">
        <f t="shared" si="46"/>
        <v>1.9659126085667391</v>
      </c>
      <c r="L46" s="125">
        <f t="shared" si="0"/>
        <v>2.0029709023562785</v>
      </c>
      <c r="M46" s="126">
        <f t="shared" si="1"/>
        <v>7.4030529209093587E-2</v>
      </c>
      <c r="N46" s="126">
        <f t="shared" si="47"/>
        <v>3.6960361791579044</v>
      </c>
      <c r="P46" s="138">
        <f t="shared" si="48"/>
        <v>420.62388949481851</v>
      </c>
      <c r="Q46" s="138">
        <f t="shared" si="49"/>
        <v>325.79239999999999</v>
      </c>
      <c r="R46" s="138">
        <f t="shared" si="50"/>
        <v>420.62388949481851</v>
      </c>
      <c r="S46" s="138">
        <f t="shared" si="51"/>
        <v>395.14811175410171</v>
      </c>
      <c r="T46" s="138">
        <f t="shared" si="52"/>
        <v>461.09709105082567</v>
      </c>
      <c r="U46" s="138">
        <f t="shared" si="53"/>
        <v>420.62388949481851</v>
      </c>
      <c r="V46" s="138">
        <f t="shared" si="54"/>
        <v>295.19831999999997</v>
      </c>
      <c r="W46" s="138">
        <f t="shared" si="55"/>
        <v>391.30108446991187</v>
      </c>
      <c r="X46" s="138">
        <f t="shared" si="56"/>
        <v>59.150784605802507</v>
      </c>
      <c r="Y46" s="138">
        <f t="shared" si="57"/>
        <v>15.116437687856896</v>
      </c>
      <c r="AA46" s="227">
        <f t="shared" si="228"/>
        <v>0.44930968920000003</v>
      </c>
      <c r="AB46" s="227">
        <f t="shared" si="229"/>
        <v>0.40606573705179283</v>
      </c>
      <c r="AC46" s="227">
        <f t="shared" si="230"/>
        <v>0.47</v>
      </c>
      <c r="AD46" s="227">
        <f t="shared" si="231"/>
        <v>0.44930968920000003</v>
      </c>
      <c r="AE46" s="227">
        <f t="shared" si="62"/>
        <v>0.44367127886294822</v>
      </c>
      <c r="AF46" s="227">
        <f t="shared" si="63"/>
        <v>2.6900815810932434E-2</v>
      </c>
      <c r="AG46" s="227">
        <f t="shared" si="64"/>
        <v>6.0632312913908946</v>
      </c>
      <c r="AI46" s="228">
        <f t="shared" si="65"/>
        <v>4.481086221428602</v>
      </c>
      <c r="AJ46" s="228">
        <f t="shared" si="66"/>
        <v>4.481086221428602</v>
      </c>
      <c r="AK46" s="228">
        <f t="shared" si="67"/>
        <v>4.481086221428602</v>
      </c>
      <c r="AL46" s="228">
        <f t="shared" si="68"/>
        <v>7.153689142529819</v>
      </c>
      <c r="AM46" s="228">
        <f t="shared" si="69"/>
        <v>4.28</v>
      </c>
      <c r="AN46" s="228">
        <f t="shared" si="70"/>
        <v>5.1854465867433737</v>
      </c>
      <c r="AO46" s="228">
        <f t="shared" si="71"/>
        <v>4.5923609436487745</v>
      </c>
      <c r="AP46" s="228">
        <f t="shared" si="72"/>
        <v>4.9506793338868249</v>
      </c>
      <c r="AQ46" s="228">
        <f t="shared" si="73"/>
        <v>1.0122683925620828</v>
      </c>
      <c r="AR46" s="228">
        <f t="shared" si="74"/>
        <v>20.447060378829693</v>
      </c>
      <c r="AT46" s="229">
        <f t="shared" si="75"/>
        <v>1.4121946335602724</v>
      </c>
      <c r="AU46" s="229">
        <f t="shared" si="76"/>
        <v>1.47</v>
      </c>
      <c r="AV46" s="229">
        <f t="shared" si="77"/>
        <v>1.3340101544257243</v>
      </c>
      <c r="AW46" s="229">
        <f t="shared" si="78"/>
        <v>1.4121946335602724</v>
      </c>
      <c r="AX46" s="229">
        <f t="shared" si="79"/>
        <v>0.78660914404739801</v>
      </c>
      <c r="AY46" s="229">
        <f t="shared" si="80"/>
        <v>1.3</v>
      </c>
      <c r="AZ46" s="229">
        <f t="shared" si="81"/>
        <v>1.2999999999663208</v>
      </c>
      <c r="BA46" s="229">
        <f t="shared" si="82"/>
        <v>1.246580790291842</v>
      </c>
      <c r="BB46" s="229">
        <f t="shared" si="83"/>
        <v>1.2826986694814788</v>
      </c>
      <c r="BC46" s="229">
        <f t="shared" si="84"/>
        <v>0.21356198726880457</v>
      </c>
      <c r="BD46" s="229">
        <f t="shared" si="85"/>
        <v>16.649427675413069</v>
      </c>
      <c r="BF46" s="230">
        <f t="shared" si="86"/>
        <v>11.73</v>
      </c>
      <c r="BG46" s="230">
        <f t="shared" si="87"/>
        <v>6.27</v>
      </c>
      <c r="BH46" s="230">
        <f t="shared" si="88"/>
        <v>6.6146461538457881</v>
      </c>
      <c r="BI46" s="230">
        <f t="shared" si="192"/>
        <v>8.2048820512819294</v>
      </c>
      <c r="BJ46" s="230">
        <f t="shared" si="193"/>
        <v>3.0577013682046972</v>
      </c>
      <c r="BK46" s="230">
        <f t="shared" si="89"/>
        <v>37.266853430598218</v>
      </c>
      <c r="BM46" s="227">
        <f t="shared" si="90"/>
        <v>31.73</v>
      </c>
      <c r="BN46" s="227">
        <f t="shared" si="91"/>
        <v>24.538544645551447</v>
      </c>
      <c r="BO46" s="227">
        <f t="shared" si="92"/>
        <v>22.823097753174014</v>
      </c>
      <c r="BP46" s="227">
        <f t="shared" si="93"/>
        <v>24.538544645551447</v>
      </c>
      <c r="BQ46" s="227">
        <f t="shared" si="94"/>
        <v>15.17</v>
      </c>
      <c r="BR46" s="227">
        <f t="shared" si="95"/>
        <v>22.352246269739833</v>
      </c>
      <c r="BS46" s="227">
        <f t="shared" si="96"/>
        <v>19.95</v>
      </c>
      <c r="BT46" s="227">
        <f t="shared" si="194"/>
        <v>23.014633330573819</v>
      </c>
      <c r="BU46" s="227">
        <f t="shared" si="195"/>
        <v>5.0333540774213175</v>
      </c>
      <c r="BV46" s="227">
        <f t="shared" si="97"/>
        <v>21.870233625381083</v>
      </c>
      <c r="BX46" s="231">
        <f t="shared" si="98"/>
        <v>0.33418278109262567</v>
      </c>
      <c r="BY46" s="231">
        <f t="shared" si="99"/>
        <v>0.30938197983614396</v>
      </c>
      <c r="BZ46" s="231">
        <f t="shared" si="100"/>
        <v>0.32247623745920334</v>
      </c>
      <c r="CA46" s="231">
        <f t="shared" si="101"/>
        <v>0.24</v>
      </c>
      <c r="CB46" s="231">
        <f t="shared" si="102"/>
        <v>0.36698855672900238</v>
      </c>
      <c r="CC46" s="231">
        <f t="shared" si="103"/>
        <v>0.31675194292503972</v>
      </c>
      <c r="CD46" s="231">
        <f t="shared" si="104"/>
        <v>0.48</v>
      </c>
      <c r="CE46" s="231">
        <f t="shared" si="105"/>
        <v>0.45464947732690969</v>
      </c>
      <c r="CF46" s="231">
        <f t="shared" si="106"/>
        <v>0.35305387192111559</v>
      </c>
      <c r="CG46" s="231">
        <f t="shared" si="107"/>
        <v>7.9218066008151178E-2</v>
      </c>
      <c r="CH46" s="231">
        <f t="shared" si="196"/>
        <v>22.437954178803405</v>
      </c>
      <c r="CJ46" s="232">
        <f t="shared" si="108"/>
        <v>1.5037991919427924</v>
      </c>
      <c r="CK46" s="232">
        <f t="shared" si="109"/>
        <v>1.5037991919427924</v>
      </c>
      <c r="CL46" s="232">
        <f t="shared" si="110"/>
        <v>2.1</v>
      </c>
      <c r="CM46" s="232">
        <f t="shared" si="111"/>
        <v>1.8657633185269689</v>
      </c>
      <c r="CN46" s="232">
        <f t="shared" si="112"/>
        <v>1.8972622763739104</v>
      </c>
      <c r="CO46" s="232">
        <f t="shared" si="113"/>
        <v>1.5257095088326462</v>
      </c>
      <c r="CP46" s="232">
        <f t="shared" si="114"/>
        <v>1.5047464211460371</v>
      </c>
      <c r="CQ46" s="232">
        <f t="shared" si="115"/>
        <v>1.8717576064014088</v>
      </c>
      <c r="CR46" s="232">
        <f t="shared" si="116"/>
        <v>3.9967826768591235</v>
      </c>
      <c r="CS46" s="232">
        <f t="shared" si="117"/>
        <v>1.41</v>
      </c>
      <c r="CT46" s="232">
        <f t="shared" si="118"/>
        <v>1.4096717570115385</v>
      </c>
      <c r="CU46" s="232">
        <f t="shared" si="119"/>
        <v>1.8717538135488381</v>
      </c>
      <c r="CV46" s="232">
        <f t="shared" si="120"/>
        <v>0.74299995051008927</v>
      </c>
      <c r="CW46" s="232">
        <f t="shared" si="197"/>
        <v>39.695388631337373</v>
      </c>
      <c r="CY46" s="229">
        <f t="shared" si="198"/>
        <v>1.19</v>
      </c>
      <c r="CZ46" s="229">
        <f t="shared" si="199"/>
        <v>0.74161558577058995</v>
      </c>
      <c r="DA46" s="229">
        <f t="shared" si="200"/>
        <v>0.5217517188488392</v>
      </c>
      <c r="DB46" s="229">
        <f t="shared" si="201"/>
        <v>1.1942631861638278</v>
      </c>
      <c r="DC46" s="229">
        <f t="shared" si="202"/>
        <v>0.57999999999999996</v>
      </c>
      <c r="DD46" s="229">
        <f t="shared" si="203"/>
        <v>0.55843270934159406</v>
      </c>
      <c r="DE46" s="229">
        <f t="shared" si="204"/>
        <v>0.8</v>
      </c>
      <c r="DF46" s="229">
        <f t="shared" si="205"/>
        <v>0.79800902858926448</v>
      </c>
      <c r="DG46" s="229">
        <f t="shared" si="206"/>
        <v>0.28725752496626739</v>
      </c>
      <c r="DH46" s="229">
        <f t="shared" si="207"/>
        <v>35.996776311426785</v>
      </c>
      <c r="DJ46" s="234">
        <f t="shared" si="121"/>
        <v>0.11806862997507989</v>
      </c>
      <c r="DK46" s="234">
        <f t="shared" si="122"/>
        <v>0.15955220266902689</v>
      </c>
      <c r="DL46" s="234">
        <f t="shared" si="123"/>
        <v>0.11606016988342686</v>
      </c>
      <c r="DM46" s="234">
        <f t="shared" si="208"/>
        <v>0.13122700084251121</v>
      </c>
      <c r="DN46" s="234">
        <f t="shared" si="209"/>
        <v>2.4550891467919861E-2</v>
      </c>
      <c r="DO46" s="234">
        <f t="shared" si="210"/>
        <v>18.708719478687161</v>
      </c>
      <c r="DQ46" s="229">
        <f t="shared" si="124"/>
        <v>3.49</v>
      </c>
      <c r="DR46" s="229">
        <f t="shared" si="125"/>
        <v>3.8361257096756467</v>
      </c>
      <c r="DS46" s="229">
        <f t="shared" si="126"/>
        <v>3.0044563535344171</v>
      </c>
      <c r="DT46" s="229">
        <f t="shared" si="127"/>
        <v>2.6602380128982355</v>
      </c>
      <c r="DU46" s="229">
        <f t="shared" si="128"/>
        <v>3.8361257096756467</v>
      </c>
      <c r="DV46" s="229">
        <f t="shared" si="129"/>
        <v>1.97</v>
      </c>
      <c r="DW46" s="229">
        <f t="shared" si="130"/>
        <v>1.6086</v>
      </c>
      <c r="DX46" s="229">
        <f t="shared" si="131"/>
        <v>3.4733564944588387</v>
      </c>
      <c r="DY46" s="229">
        <f t="shared" si="211"/>
        <v>2.9848627850303475</v>
      </c>
      <c r="DZ46" s="229">
        <f t="shared" si="212"/>
        <v>0.84286058162134059</v>
      </c>
      <c r="EA46" s="229">
        <f t="shared" si="213"/>
        <v>28.237833439059447</v>
      </c>
      <c r="EC46" s="235">
        <f t="shared" si="132"/>
        <v>0.21345269542685247</v>
      </c>
      <c r="ED46" s="235">
        <f t="shared" si="133"/>
        <v>0.15</v>
      </c>
      <c r="EE46" s="235">
        <f t="shared" si="134"/>
        <v>0.17550742293592958</v>
      </c>
      <c r="EF46" s="235">
        <f t="shared" si="135"/>
        <v>0.14590541727327533</v>
      </c>
      <c r="EG46" s="235">
        <f t="shared" si="136"/>
        <v>0.17121638390901434</v>
      </c>
      <c r="EH46" s="235">
        <f t="shared" si="137"/>
        <v>3.1054248258880604E-2</v>
      </c>
      <c r="EI46" s="235">
        <f t="shared" si="214"/>
        <v>18.137427943451407</v>
      </c>
      <c r="EK46" s="236">
        <f t="shared" si="138"/>
        <v>20.705381659388649</v>
      </c>
      <c r="EL46" s="236">
        <f t="shared" si="139"/>
        <v>30.625564910109802</v>
      </c>
      <c r="EM46" s="236">
        <f t="shared" si="140"/>
        <v>31.282497354555467</v>
      </c>
      <c r="EN46" s="236">
        <f t="shared" si="141"/>
        <v>14.4</v>
      </c>
      <c r="EO46" s="236">
        <f t="shared" si="142"/>
        <v>29.633086741435331</v>
      </c>
      <c r="EP46" s="236">
        <f t="shared" si="143"/>
        <v>31.282497354555467</v>
      </c>
      <c r="EQ46" s="236">
        <f t="shared" si="144"/>
        <v>32.922399242610531</v>
      </c>
      <c r="ER46" s="236">
        <f t="shared" si="145"/>
        <v>27.26448960895075</v>
      </c>
      <c r="ES46" s="236">
        <f t="shared" si="146"/>
        <v>6.9489181826984687</v>
      </c>
      <c r="ET46" s="236">
        <f t="shared" si="215"/>
        <v>25.487064978532313</v>
      </c>
      <c r="EV46" s="238">
        <f t="shared" si="147"/>
        <v>1.595522026690269E-2</v>
      </c>
      <c r="EW46" s="238">
        <f t="shared" si="148"/>
        <v>1.595522026690269E-2</v>
      </c>
      <c r="EX46" s="238" t="e">
        <f t="shared" si="149"/>
        <v>#DIV/0!</v>
      </c>
      <c r="EY46" s="238" t="e">
        <f t="shared" si="216"/>
        <v>#DIV/0!</v>
      </c>
      <c r="FA46" s="240">
        <f t="shared" si="150"/>
        <v>0.49461182827398331</v>
      </c>
      <c r="FB46" s="240">
        <f t="shared" si="151"/>
        <v>0.66453492411649706</v>
      </c>
      <c r="FC46" s="240">
        <f t="shared" si="152"/>
        <v>0.57957337619524019</v>
      </c>
      <c r="FD46" s="240">
        <f t="shared" si="153"/>
        <v>0.12015377335045289</v>
      </c>
      <c r="FE46" s="240">
        <f t="shared" si="217"/>
        <v>20.731416984547067</v>
      </c>
      <c r="FG46" s="236">
        <f t="shared" si="154"/>
        <v>1.2</v>
      </c>
      <c r="FH46" s="236">
        <f t="shared" si="155"/>
        <v>1.3882975308171632</v>
      </c>
      <c r="FI46" s="236">
        <f t="shared" si="156"/>
        <v>1.3163056720194719</v>
      </c>
      <c r="FJ46" s="236">
        <f t="shared" si="157"/>
        <v>0.92</v>
      </c>
      <c r="FK46" s="236">
        <f t="shared" si="158"/>
        <v>1.2764176213522151</v>
      </c>
      <c r="FL46" s="236">
        <f t="shared" si="159"/>
        <v>0.9</v>
      </c>
      <c r="FM46" s="236">
        <f t="shared" si="160"/>
        <v>1.1668368040314752</v>
      </c>
      <c r="FN46" s="236">
        <f t="shared" si="161"/>
        <v>0.20814602417908024</v>
      </c>
      <c r="FO46" s="236">
        <f t="shared" si="218"/>
        <v>17.838486364153589</v>
      </c>
      <c r="FQ46" s="227">
        <f t="shared" si="162"/>
        <v>0.32</v>
      </c>
      <c r="FR46" s="227">
        <f t="shared" si="163"/>
        <v>0.34674326198057126</v>
      </c>
      <c r="FS46" s="227">
        <f t="shared" si="164"/>
        <v>0.34674326198057126</v>
      </c>
      <c r="FT46" s="227">
        <f t="shared" si="165"/>
        <v>0.24</v>
      </c>
      <c r="FU46" s="227">
        <f t="shared" si="166"/>
        <v>0.33242701426091747</v>
      </c>
      <c r="FV46" s="227">
        <f t="shared" si="219"/>
        <v>0.31718270764441198</v>
      </c>
      <c r="FW46" s="227">
        <f t="shared" si="220"/>
        <v>4.4567782997025497E-2</v>
      </c>
      <c r="FX46" s="227">
        <f t="shared" si="221"/>
        <v>14.051138956474784</v>
      </c>
      <c r="FZ46" s="230">
        <f t="shared" si="167"/>
        <v>1.6752981280247823</v>
      </c>
      <c r="GA46" s="230">
        <f t="shared" si="168"/>
        <v>2.4700000000000002</v>
      </c>
      <c r="GB46" s="230">
        <f t="shared" si="169"/>
        <v>3.5816957446129378</v>
      </c>
      <c r="GC46" s="230">
        <f t="shared" si="170"/>
        <v>2.5756646242125734</v>
      </c>
      <c r="GD46" s="230">
        <f t="shared" si="171"/>
        <v>0.95758118597889008</v>
      </c>
      <c r="GE46" s="230">
        <f t="shared" si="222"/>
        <v>37.17802298393719</v>
      </c>
      <c r="GG46" s="231">
        <f t="shared" si="172"/>
        <v>0.11168654186831882</v>
      </c>
      <c r="GH46" s="231">
        <f t="shared" si="173"/>
        <v>0.05</v>
      </c>
      <c r="GI46" s="231">
        <f t="shared" si="174"/>
        <v>0.05</v>
      </c>
      <c r="GJ46" s="231">
        <f t="shared" si="175"/>
        <v>0.12381250927116486</v>
      </c>
      <c r="GK46" s="245">
        <f t="shared" si="186"/>
        <v>7.4604169757054958E-2</v>
      </c>
      <c r="GL46" s="231">
        <f t="shared" si="187"/>
        <v>4.261567209726877E-2</v>
      </c>
      <c r="GM46" s="231">
        <f t="shared" si="223"/>
        <v>57.122372966611309</v>
      </c>
      <c r="GO46" s="246">
        <f t="shared" si="176"/>
        <v>0.18</v>
      </c>
      <c r="GP46" s="246">
        <f t="shared" si="177"/>
        <v>0.18348503306938091</v>
      </c>
      <c r="GQ46" s="247">
        <f t="shared" si="188"/>
        <v>0.18174251653469045</v>
      </c>
      <c r="GR46" s="246">
        <f t="shared" si="189"/>
        <v>2.4642905160186133E-3</v>
      </c>
      <c r="GS46" s="246">
        <f t="shared" si="224"/>
        <v>1.355924063893017</v>
      </c>
      <c r="GU46" s="249">
        <f t="shared" si="178"/>
        <v>2.2600569508067658E-2</v>
      </c>
      <c r="GV46" s="249">
        <f t="shared" si="179"/>
        <v>2.2600569508067658E-2</v>
      </c>
      <c r="GW46" s="249" t="e">
        <f t="shared" si="180"/>
        <v>#DIV/0!</v>
      </c>
      <c r="GX46" s="249" t="e">
        <f t="shared" si="225"/>
        <v>#DIV/0!</v>
      </c>
      <c r="GZ46" s="240">
        <f t="shared" si="181"/>
        <v>2.3932830400354033E-2</v>
      </c>
      <c r="HA46" s="240">
        <f t="shared" si="182"/>
        <v>2.3932830400354033E-2</v>
      </c>
      <c r="HB46" s="240" t="e">
        <f t="shared" si="183"/>
        <v>#DIV/0!</v>
      </c>
      <c r="HC46" s="240" t="e">
        <f t="shared" si="226"/>
        <v>#DIV/0!</v>
      </c>
      <c r="HE46" s="234">
        <f t="shared" si="184"/>
        <v>9.4503360588070975E-2</v>
      </c>
      <c r="HF46" s="234">
        <f t="shared" si="185"/>
        <v>9.4503360588070975E-2</v>
      </c>
      <c r="HG46" s="251">
        <f t="shared" si="190"/>
        <v>9.4503360588070975E-2</v>
      </c>
      <c r="HH46" s="234">
        <f t="shared" si="191"/>
        <v>0</v>
      </c>
      <c r="HI46" s="234">
        <f t="shared" si="227"/>
        <v>0</v>
      </c>
    </row>
    <row r="47" spans="2:217" ht="15.6" x14ac:dyDescent="0.25">
      <c r="B47">
        <v>43</v>
      </c>
      <c r="C47" s="124">
        <f t="shared" si="38"/>
        <v>79.896897844526848</v>
      </c>
      <c r="D47" s="124">
        <f t="shared" si="39"/>
        <v>174.15134873850917</v>
      </c>
      <c r="E47" s="29">
        <f t="shared" si="40"/>
        <v>2.1664078271740546</v>
      </c>
      <c r="F47" s="29">
        <f t="shared" si="41"/>
        <v>1.9794379717096304</v>
      </c>
      <c r="G47" s="29">
        <f t="shared" si="42"/>
        <v>1.9481101053350844</v>
      </c>
      <c r="H47" s="29">
        <f t="shared" si="43"/>
        <v>1.9785956576791159</v>
      </c>
      <c r="I47" s="29">
        <f t="shared" si="44"/>
        <v>2.0040129498896695</v>
      </c>
      <c r="J47" s="29">
        <f t="shared" si="45"/>
        <v>1.9785956576791157</v>
      </c>
      <c r="K47" s="29">
        <f t="shared" si="46"/>
        <v>1.9659711001356752</v>
      </c>
      <c r="L47" s="125">
        <f t="shared" si="0"/>
        <v>2.0030187528003354</v>
      </c>
      <c r="M47" s="126">
        <f t="shared" si="1"/>
        <v>7.3974651710823347E-2</v>
      </c>
      <c r="N47" s="126">
        <f t="shared" si="47"/>
        <v>3.6931582196822936</v>
      </c>
      <c r="P47" s="138">
        <f t="shared" si="48"/>
        <v>420.63393808807047</v>
      </c>
      <c r="Q47" s="138">
        <f t="shared" si="49"/>
        <v>325.79239999999999</v>
      </c>
      <c r="R47" s="138">
        <f t="shared" si="50"/>
        <v>420.63393808807047</v>
      </c>
      <c r="S47" s="138">
        <f t="shared" si="51"/>
        <v>393.39732945580187</v>
      </c>
      <c r="T47" s="138">
        <f t="shared" si="52"/>
        <v>461.64263675213351</v>
      </c>
      <c r="U47" s="138">
        <f t="shared" si="53"/>
        <v>420.63393808807047</v>
      </c>
      <c r="V47" s="138">
        <f t="shared" si="54"/>
        <v>292.91861999999998</v>
      </c>
      <c r="W47" s="138">
        <f t="shared" si="55"/>
        <v>390.80754292459238</v>
      </c>
      <c r="X47" s="138">
        <f t="shared" si="56"/>
        <v>59.864247953208761</v>
      </c>
      <c r="Y47" s="138">
        <f t="shared" si="57"/>
        <v>15.318089181497646</v>
      </c>
      <c r="AA47" s="227">
        <f t="shared" si="228"/>
        <v>0.44892500404999996</v>
      </c>
      <c r="AB47" s="227">
        <f t="shared" si="229"/>
        <v>0.40628906249999996</v>
      </c>
      <c r="AC47" s="227">
        <f t="shared" si="230"/>
        <v>0.47</v>
      </c>
      <c r="AD47" s="227">
        <f t="shared" si="231"/>
        <v>0.44892500404999996</v>
      </c>
      <c r="AE47" s="227">
        <f t="shared" si="62"/>
        <v>0.44353476764999994</v>
      </c>
      <c r="AF47" s="227">
        <f t="shared" si="63"/>
        <v>2.6744222879941711E-2</v>
      </c>
      <c r="AG47" s="227">
        <f t="shared" si="64"/>
        <v>6.0297917616789825</v>
      </c>
      <c r="AI47" s="228">
        <f t="shared" si="65"/>
        <v>4.4812155619311191</v>
      </c>
      <c r="AJ47" s="228">
        <f t="shared" si="66"/>
        <v>4.4812155619311191</v>
      </c>
      <c r="AK47" s="228">
        <f t="shared" si="67"/>
        <v>4.4812155619311191</v>
      </c>
      <c r="AL47" s="228">
        <f t="shared" si="68"/>
        <v>7.16451784020928</v>
      </c>
      <c r="AM47" s="228">
        <f t="shared" si="69"/>
        <v>4.28</v>
      </c>
      <c r="AN47" s="228">
        <f t="shared" si="70"/>
        <v>5.1932983598942455</v>
      </c>
      <c r="AO47" s="228">
        <f t="shared" si="71"/>
        <v>4.5924810211781999</v>
      </c>
      <c r="AP47" s="228">
        <f t="shared" si="72"/>
        <v>4.9534205581535833</v>
      </c>
      <c r="AQ47" s="228">
        <f t="shared" si="73"/>
        <v>1.0164642823164243</v>
      </c>
      <c r="AR47" s="228">
        <f t="shared" si="74"/>
        <v>20.520451885379934</v>
      </c>
      <c r="AT47" s="229">
        <f t="shared" si="75"/>
        <v>1.4129371085594988</v>
      </c>
      <c r="AU47" s="229">
        <f t="shared" si="76"/>
        <v>1.47</v>
      </c>
      <c r="AV47" s="229">
        <f t="shared" si="77"/>
        <v>1.3317769119982061</v>
      </c>
      <c r="AW47" s="229">
        <f t="shared" si="78"/>
        <v>1.4129371085594988</v>
      </c>
      <c r="AX47" s="229">
        <f t="shared" si="79"/>
        <v>0.8044607002088543</v>
      </c>
      <c r="AY47" s="229">
        <f t="shared" si="80"/>
        <v>1.3</v>
      </c>
      <c r="AZ47" s="229">
        <f t="shared" si="81"/>
        <v>1.2999999999810106</v>
      </c>
      <c r="BA47" s="229">
        <f t="shared" si="82"/>
        <v>1.2446005193975849</v>
      </c>
      <c r="BB47" s="229">
        <f t="shared" si="83"/>
        <v>1.2845890435880816</v>
      </c>
      <c r="BC47" s="229">
        <f t="shared" si="84"/>
        <v>0.20775936375115026</v>
      </c>
      <c r="BD47" s="229">
        <f t="shared" si="85"/>
        <v>16.17321623504137</v>
      </c>
      <c r="BF47" s="230">
        <f t="shared" si="86"/>
        <v>11.73</v>
      </c>
      <c r="BG47" s="230">
        <f t="shared" si="87"/>
        <v>6.27</v>
      </c>
      <c r="BH47" s="230">
        <f t="shared" si="88"/>
        <v>6.6146461538460199</v>
      </c>
      <c r="BI47" s="230">
        <f t="shared" si="192"/>
        <v>8.2048820512820075</v>
      </c>
      <c r="BJ47" s="230">
        <f t="shared" si="193"/>
        <v>3.057701368204639</v>
      </c>
      <c r="BK47" s="230">
        <f t="shared" si="89"/>
        <v>37.266853430597152</v>
      </c>
      <c r="BM47" s="227">
        <f t="shared" si="90"/>
        <v>31.73</v>
      </c>
      <c r="BN47" s="227">
        <f t="shared" si="91"/>
        <v>24.537870721005909</v>
      </c>
      <c r="BO47" s="227">
        <f t="shared" si="92"/>
        <v>22.834305751989877</v>
      </c>
      <c r="BP47" s="227">
        <f t="shared" si="93"/>
        <v>24.537870721005909</v>
      </c>
      <c r="BQ47" s="227">
        <f t="shared" si="94"/>
        <v>15.17</v>
      </c>
      <c r="BR47" s="227">
        <f t="shared" si="95"/>
        <v>22.278582918416699</v>
      </c>
      <c r="BS47" s="227">
        <f t="shared" si="96"/>
        <v>19.95</v>
      </c>
      <c r="BT47" s="227">
        <f t="shared" si="194"/>
        <v>23.005518587488336</v>
      </c>
      <c r="BU47" s="227">
        <f t="shared" si="195"/>
        <v>5.0349127220973369</v>
      </c>
      <c r="BV47" s="227">
        <f t="shared" si="97"/>
        <v>21.885673661082343</v>
      </c>
      <c r="BX47" s="231">
        <f t="shared" si="98"/>
        <v>0.333969727184391</v>
      </c>
      <c r="BY47" s="231">
        <f t="shared" si="99"/>
        <v>0.309410456781056</v>
      </c>
      <c r="BZ47" s="231">
        <f t="shared" si="100"/>
        <v>0.3228320279205637</v>
      </c>
      <c r="CA47" s="231">
        <f t="shared" si="101"/>
        <v>0.24</v>
      </c>
      <c r="CB47" s="231">
        <f t="shared" si="102"/>
        <v>0.36754057674618751</v>
      </c>
      <c r="CC47" s="231">
        <f t="shared" si="103"/>
        <v>0.31652677357723752</v>
      </c>
      <c r="CD47" s="231">
        <f t="shared" si="104"/>
        <v>0.48</v>
      </c>
      <c r="CE47" s="231">
        <f t="shared" si="105"/>
        <v>0.45364383642565487</v>
      </c>
      <c r="CF47" s="231">
        <f t="shared" si="106"/>
        <v>0.35299042482938631</v>
      </c>
      <c r="CG47" s="231">
        <f t="shared" si="107"/>
        <v>7.904900089335079E-2</v>
      </c>
      <c r="CH47" s="231">
        <f t="shared" si="196"/>
        <v>22.394092114979657</v>
      </c>
      <c r="CJ47" s="232">
        <f t="shared" si="108"/>
        <v>1.5038419634833258</v>
      </c>
      <c r="CK47" s="232">
        <f t="shared" si="109"/>
        <v>1.5038419634833258</v>
      </c>
      <c r="CL47" s="232">
        <f t="shared" si="110"/>
        <v>2.1</v>
      </c>
      <c r="CM47" s="232">
        <f t="shared" si="111"/>
        <v>1.8677855501519753</v>
      </c>
      <c r="CN47" s="232">
        <f t="shared" si="112"/>
        <v>1.8973126243184553</v>
      </c>
      <c r="CO47" s="232">
        <f t="shared" si="113"/>
        <v>1.5275111808610498</v>
      </c>
      <c r="CP47" s="232">
        <f t="shared" si="114"/>
        <v>1.5047892196279682</v>
      </c>
      <c r="CQ47" s="232">
        <f t="shared" si="115"/>
        <v>1.8744573179224551</v>
      </c>
      <c r="CR47" s="232">
        <f t="shared" si="116"/>
        <v>4.0028345820107951</v>
      </c>
      <c r="CS47" s="232">
        <f t="shared" si="117"/>
        <v>1.41</v>
      </c>
      <c r="CT47" s="232">
        <f t="shared" si="118"/>
        <v>1.4087927433649445</v>
      </c>
      <c r="CU47" s="232">
        <f t="shared" si="119"/>
        <v>1.8728333768385723</v>
      </c>
      <c r="CV47" s="232">
        <f t="shared" si="120"/>
        <v>0.74469449112985797</v>
      </c>
      <c r="CW47" s="232">
        <f t="shared" si="197"/>
        <v>39.762986944782888</v>
      </c>
      <c r="CY47" s="229">
        <f t="shared" si="198"/>
        <v>1.19</v>
      </c>
      <c r="CZ47" s="229">
        <f t="shared" si="199"/>
        <v>0.74450681955236875</v>
      </c>
      <c r="DA47" s="229">
        <f t="shared" si="200"/>
        <v>0.52071506863534289</v>
      </c>
      <c r="DB47" s="229">
        <f t="shared" si="201"/>
        <v>1.195632399932566</v>
      </c>
      <c r="DC47" s="229">
        <f t="shared" si="202"/>
        <v>0.57999999999999996</v>
      </c>
      <c r="DD47" s="229">
        <f t="shared" si="203"/>
        <v>0.55927828491168796</v>
      </c>
      <c r="DE47" s="229">
        <f t="shared" si="204"/>
        <v>0.8</v>
      </c>
      <c r="DF47" s="229">
        <f t="shared" si="205"/>
        <v>0.79859036757599511</v>
      </c>
      <c r="DG47" s="229">
        <f t="shared" si="206"/>
        <v>0.28752901201734393</v>
      </c>
      <c r="DH47" s="229">
        <f t="shared" si="207"/>
        <v>36.004568010267448</v>
      </c>
      <c r="DJ47" s="234">
        <f t="shared" si="121"/>
        <v>0.11824740880989973</v>
      </c>
      <c r="DK47" s="234">
        <f t="shared" si="122"/>
        <v>0.15979379568905369</v>
      </c>
      <c r="DL47" s="234">
        <f t="shared" si="123"/>
        <v>0.11597790830327703</v>
      </c>
      <c r="DM47" s="234">
        <f t="shared" si="208"/>
        <v>0.13133970426741015</v>
      </c>
      <c r="DN47" s="234">
        <f t="shared" si="209"/>
        <v>2.4668079518090337E-2</v>
      </c>
      <c r="DO47" s="234">
        <f t="shared" si="210"/>
        <v>18.781890560576912</v>
      </c>
      <c r="DQ47" s="229">
        <f t="shared" si="124"/>
        <v>3.49</v>
      </c>
      <c r="DR47" s="229">
        <f t="shared" si="125"/>
        <v>3.8362175441339366</v>
      </c>
      <c r="DS47" s="229">
        <f t="shared" si="126"/>
        <v>3.0045281292005028</v>
      </c>
      <c r="DT47" s="229">
        <f t="shared" si="127"/>
        <v>2.6634334526261769</v>
      </c>
      <c r="DU47" s="229">
        <f t="shared" si="128"/>
        <v>3.8362175441339366</v>
      </c>
      <c r="DV47" s="229">
        <f t="shared" si="129"/>
        <v>1.97</v>
      </c>
      <c r="DW47" s="229">
        <f t="shared" si="130"/>
        <v>1.6469</v>
      </c>
      <c r="DX47" s="229">
        <f t="shared" si="131"/>
        <v>3.473629075861103</v>
      </c>
      <c r="DY47" s="229">
        <f t="shared" si="211"/>
        <v>2.9901157182444571</v>
      </c>
      <c r="DZ47" s="229">
        <f t="shared" si="212"/>
        <v>0.83385846917416906</v>
      </c>
      <c r="EA47" s="229">
        <f t="shared" si="213"/>
        <v>27.88716383403851</v>
      </c>
      <c r="EC47" s="235">
        <f t="shared" si="132"/>
        <v>0.21372214670647813</v>
      </c>
      <c r="ED47" s="235">
        <f t="shared" si="133"/>
        <v>0.15</v>
      </c>
      <c r="EE47" s="235">
        <f t="shared" si="134"/>
        <v>0.17577317525795907</v>
      </c>
      <c r="EF47" s="235">
        <f t="shared" si="135"/>
        <v>0.14580902917888719</v>
      </c>
      <c r="EG47" s="235">
        <f t="shared" si="136"/>
        <v>0.17132608778583108</v>
      </c>
      <c r="EH47" s="235">
        <f t="shared" si="137"/>
        <v>3.1214978771880994E-2</v>
      </c>
      <c r="EI47" s="235">
        <f t="shared" si="214"/>
        <v>18.219629698719192</v>
      </c>
      <c r="EK47" s="236">
        <f t="shared" si="138"/>
        <v>20.705381659388649</v>
      </c>
      <c r="EL47" s="236">
        <f t="shared" si="139"/>
        <v>30.801486892973642</v>
      </c>
      <c r="EM47" s="236">
        <f t="shared" si="140"/>
        <v>31.462192944814756</v>
      </c>
      <c r="EN47" s="236">
        <f t="shared" si="141"/>
        <v>14.4</v>
      </c>
      <c r="EO47" s="236">
        <f t="shared" si="142"/>
        <v>29.785268304006657</v>
      </c>
      <c r="EP47" s="236">
        <f t="shared" si="143"/>
        <v>31.462192944814756</v>
      </c>
      <c r="EQ47" s="236">
        <f t="shared" si="144"/>
        <v>33.024783548080421</v>
      </c>
      <c r="ER47" s="236">
        <f t="shared" si="145"/>
        <v>27.377329470582698</v>
      </c>
      <c r="ES47" s="236">
        <f t="shared" si="146"/>
        <v>7.020386361944464</v>
      </c>
      <c r="ET47" s="236">
        <f t="shared" si="215"/>
        <v>25.643064892388288</v>
      </c>
      <c r="EV47" s="238">
        <f t="shared" si="147"/>
        <v>1.5979379568905369E-2</v>
      </c>
      <c r="EW47" s="238">
        <f t="shared" si="148"/>
        <v>1.5979379568905369E-2</v>
      </c>
      <c r="EX47" s="238" t="e">
        <f t="shared" si="149"/>
        <v>#DIV/0!</v>
      </c>
      <c r="EY47" s="238" t="e">
        <f t="shared" si="216"/>
        <v>#DIV/0!</v>
      </c>
      <c r="FA47" s="240">
        <f t="shared" si="150"/>
        <v>0.49536076663606643</v>
      </c>
      <c r="FB47" s="240">
        <f t="shared" si="151"/>
        <v>0.66554115904490874</v>
      </c>
      <c r="FC47" s="240">
        <f t="shared" si="152"/>
        <v>0.58045096284048758</v>
      </c>
      <c r="FD47" s="240">
        <f t="shared" si="153"/>
        <v>0.12033570949728001</v>
      </c>
      <c r="FE47" s="240">
        <f t="shared" si="217"/>
        <v>20.731416984547099</v>
      </c>
      <c r="FG47" s="236">
        <f t="shared" si="154"/>
        <v>1.2</v>
      </c>
      <c r="FH47" s="236">
        <f t="shared" si="155"/>
        <v>1.388004580946119</v>
      </c>
      <c r="FI47" s="236">
        <f t="shared" si="156"/>
        <v>1.318298814434693</v>
      </c>
      <c r="FJ47" s="236">
        <f t="shared" si="157"/>
        <v>0.92</v>
      </c>
      <c r="FK47" s="236">
        <f t="shared" si="158"/>
        <v>1.2783503655124295</v>
      </c>
      <c r="FL47" s="236">
        <f t="shared" si="159"/>
        <v>0.9</v>
      </c>
      <c r="FM47" s="236">
        <f t="shared" si="160"/>
        <v>1.1674422934822071</v>
      </c>
      <c r="FN47" s="236">
        <f t="shared" si="161"/>
        <v>0.20857568708126986</v>
      </c>
      <c r="FO47" s="236">
        <f t="shared" si="218"/>
        <v>17.866038282640716</v>
      </c>
      <c r="FQ47" s="227">
        <f t="shared" si="162"/>
        <v>0.32</v>
      </c>
      <c r="FR47" s="227">
        <f t="shared" si="163"/>
        <v>0.34651751970808814</v>
      </c>
      <c r="FS47" s="227">
        <f t="shared" si="164"/>
        <v>0.34651751970808814</v>
      </c>
      <c r="FT47" s="227">
        <f t="shared" si="165"/>
        <v>0.24</v>
      </c>
      <c r="FU47" s="227">
        <f t="shared" si="166"/>
        <v>0.33293037331814335</v>
      </c>
      <c r="FV47" s="227">
        <f t="shared" si="219"/>
        <v>0.3171930825468639</v>
      </c>
      <c r="FW47" s="227">
        <f t="shared" si="220"/>
        <v>4.4536946261336766E-2</v>
      </c>
      <c r="FX47" s="227">
        <f t="shared" si="221"/>
        <v>14.040957609709734</v>
      </c>
      <c r="FZ47" s="230">
        <f t="shared" si="167"/>
        <v>1.6778348547350639</v>
      </c>
      <c r="GA47" s="230">
        <f t="shared" si="168"/>
        <v>2.4700000000000002</v>
      </c>
      <c r="GB47" s="230">
        <f t="shared" si="169"/>
        <v>3.5881670664319585</v>
      </c>
      <c r="GC47" s="230">
        <f t="shared" si="170"/>
        <v>2.5786673070556745</v>
      </c>
      <c r="GD47" s="230">
        <f t="shared" si="171"/>
        <v>0.95979098114054695</v>
      </c>
      <c r="GE47" s="230">
        <f t="shared" si="222"/>
        <v>37.220426943576427</v>
      </c>
      <c r="GG47" s="231">
        <f t="shared" si="172"/>
        <v>0.11185565698233758</v>
      </c>
      <c r="GH47" s="231">
        <f t="shared" si="173"/>
        <v>0.05</v>
      </c>
      <c r="GI47" s="231">
        <f t="shared" si="174"/>
        <v>0.05</v>
      </c>
      <c r="GJ47" s="231">
        <f t="shared" si="175"/>
        <v>0.12399998545470567</v>
      </c>
      <c r="GK47" s="245">
        <f t="shared" si="186"/>
        <v>7.4666661818235225E-2</v>
      </c>
      <c r="GL47" s="231">
        <f t="shared" si="187"/>
        <v>4.2723911522302711E-2</v>
      </c>
      <c r="GM47" s="231">
        <f t="shared" si="223"/>
        <v>57.219528075739689</v>
      </c>
      <c r="GO47" s="246">
        <f t="shared" si="176"/>
        <v>0.18</v>
      </c>
      <c r="GP47" s="246">
        <f t="shared" si="177"/>
        <v>0.18376286504241174</v>
      </c>
      <c r="GQ47" s="247">
        <f t="shared" si="188"/>
        <v>0.18188143252120587</v>
      </c>
      <c r="GR47" s="246">
        <f t="shared" si="189"/>
        <v>2.6607473881791505E-3</v>
      </c>
      <c r="GS47" s="246">
        <f t="shared" si="224"/>
        <v>1.4629021507563338</v>
      </c>
      <c r="GU47" s="249">
        <f t="shared" si="178"/>
        <v>2.2634791159354455E-2</v>
      </c>
      <c r="GV47" s="249">
        <f t="shared" si="179"/>
        <v>2.2634791159354455E-2</v>
      </c>
      <c r="GW47" s="249" t="e">
        <f t="shared" si="180"/>
        <v>#DIV/0!</v>
      </c>
      <c r="GX47" s="249" t="e">
        <f t="shared" si="225"/>
        <v>#DIV/0!</v>
      </c>
      <c r="GZ47" s="240">
        <f t="shared" si="181"/>
        <v>2.3969069353358057E-2</v>
      </c>
      <c r="HA47" s="240">
        <f t="shared" si="182"/>
        <v>2.3969069353358057E-2</v>
      </c>
      <c r="HB47" s="240" t="e">
        <f t="shared" si="183"/>
        <v>#DIV/0!</v>
      </c>
      <c r="HC47" s="240" t="e">
        <f t="shared" si="226"/>
        <v>#DIV/0!</v>
      </c>
      <c r="HE47" s="234">
        <f t="shared" si="184"/>
        <v>9.4647108434986929E-2</v>
      </c>
      <c r="HF47" s="234">
        <f t="shared" si="185"/>
        <v>9.4647108434986929E-2</v>
      </c>
      <c r="HG47" s="251">
        <f t="shared" si="190"/>
        <v>9.4647108434986929E-2</v>
      </c>
      <c r="HH47" s="234">
        <f t="shared" si="191"/>
        <v>0</v>
      </c>
      <c r="HI47" s="234">
        <f t="shared" si="227"/>
        <v>0</v>
      </c>
    </row>
    <row r="48" spans="2:217" ht="15.6" x14ac:dyDescent="0.25">
      <c r="B48">
        <v>44</v>
      </c>
      <c r="C48" s="124">
        <f t="shared" si="38"/>
        <v>79.998464469597138</v>
      </c>
      <c r="D48" s="124">
        <f t="shared" si="39"/>
        <v>173.9606294864779</v>
      </c>
      <c r="E48" s="29">
        <f t="shared" si="40"/>
        <v>2.1663293862329045</v>
      </c>
      <c r="F48" s="29">
        <f t="shared" si="41"/>
        <v>1.9798177887914252</v>
      </c>
      <c r="G48" s="29">
        <f t="shared" si="42"/>
        <v>1.9476144091902181</v>
      </c>
      <c r="H48" s="29">
        <f t="shared" si="43"/>
        <v>1.9789753131366203</v>
      </c>
      <c r="I48" s="29">
        <f t="shared" si="44"/>
        <v>2.0044146071717241</v>
      </c>
      <c r="J48" s="29">
        <f t="shared" si="45"/>
        <v>1.9789753131366203</v>
      </c>
      <c r="K48" s="29">
        <f t="shared" si="46"/>
        <v>1.9661428142066182</v>
      </c>
      <c r="L48" s="125">
        <f t="shared" si="0"/>
        <v>2.0031813759808759</v>
      </c>
      <c r="M48" s="126">
        <f t="shared" si="1"/>
        <v>7.3932470458052513E-2</v>
      </c>
      <c r="N48" s="126">
        <f t="shared" si="47"/>
        <v>3.6907526869278526</v>
      </c>
      <c r="P48" s="138">
        <f t="shared" si="48"/>
        <v>420.66808895598393</v>
      </c>
      <c r="Q48" s="138">
        <f t="shared" si="49"/>
        <v>325.79239999999999</v>
      </c>
      <c r="R48" s="138">
        <f t="shared" si="50"/>
        <v>420.66808895598393</v>
      </c>
      <c r="S48" s="138">
        <f t="shared" si="51"/>
        <v>391.70403546832699</v>
      </c>
      <c r="T48" s="138">
        <f t="shared" si="52"/>
        <v>462.10119626919169</v>
      </c>
      <c r="U48" s="138">
        <f t="shared" si="53"/>
        <v>420.66808895598393</v>
      </c>
      <c r="V48" s="138">
        <f t="shared" si="54"/>
        <v>290.69567999999998</v>
      </c>
      <c r="W48" s="138">
        <f t="shared" si="55"/>
        <v>390.32822551506717</v>
      </c>
      <c r="X48" s="138">
        <f t="shared" si="56"/>
        <v>60.561664201956532</v>
      </c>
      <c r="Y48" s="138">
        <f t="shared" si="57"/>
        <v>15.515573879403904</v>
      </c>
      <c r="AA48" s="227">
        <f t="shared" si="228"/>
        <v>0.44848665759999995</v>
      </c>
      <c r="AB48" s="227">
        <f t="shared" si="229"/>
        <v>0.40650383141762447</v>
      </c>
      <c r="AC48" s="227">
        <f t="shared" si="230"/>
        <v>0.47</v>
      </c>
      <c r="AD48" s="227">
        <f t="shared" si="231"/>
        <v>0.44848665759999995</v>
      </c>
      <c r="AE48" s="227">
        <f t="shared" si="62"/>
        <v>0.44336928665440606</v>
      </c>
      <c r="AF48" s="227">
        <f t="shared" si="63"/>
        <v>2.6587162653556179E-2</v>
      </c>
      <c r="AG48" s="227">
        <f t="shared" si="64"/>
        <v>5.9966180459135252</v>
      </c>
      <c r="AI48" s="228">
        <f t="shared" si="65"/>
        <v>4.4816551397529238</v>
      </c>
      <c r="AJ48" s="228">
        <f t="shared" si="66"/>
        <v>4.4816551397529238</v>
      </c>
      <c r="AK48" s="228">
        <f t="shared" si="67"/>
        <v>4.4816551397529238</v>
      </c>
      <c r="AL48" s="228">
        <f t="shared" si="68"/>
        <v>7.1736226837404597</v>
      </c>
      <c r="AM48" s="228">
        <f t="shared" si="69"/>
        <v>4.28</v>
      </c>
      <c r="AN48" s="228">
        <f t="shared" si="70"/>
        <v>5.199900190523814</v>
      </c>
      <c r="AO48" s="228">
        <f t="shared" si="71"/>
        <v>4.5928891133105001</v>
      </c>
      <c r="AP48" s="228">
        <f t="shared" si="72"/>
        <v>4.9559110581190779</v>
      </c>
      <c r="AQ48" s="228">
        <f t="shared" si="73"/>
        <v>1.0198996903588156</v>
      </c>
      <c r="AR48" s="228">
        <f t="shared" si="74"/>
        <v>20.579459122615877</v>
      </c>
      <c r="AT48" s="229">
        <f t="shared" si="75"/>
        <v>1.4136468036238354</v>
      </c>
      <c r="AU48" s="229">
        <f t="shared" si="76"/>
        <v>1.47</v>
      </c>
      <c r="AV48" s="229">
        <f t="shared" si="77"/>
        <v>1.3299973253799522</v>
      </c>
      <c r="AW48" s="229">
        <f t="shared" si="78"/>
        <v>1.4136468036238354</v>
      </c>
      <c r="AX48" s="229">
        <f t="shared" si="79"/>
        <v>0.82241848707173115</v>
      </c>
      <c r="AY48" s="229">
        <f t="shared" si="80"/>
        <v>1.3</v>
      </c>
      <c r="AZ48" s="229">
        <f t="shared" si="81"/>
        <v>1.2999999999892933</v>
      </c>
      <c r="BA48" s="229">
        <f t="shared" si="82"/>
        <v>1.2426233942864535</v>
      </c>
      <c r="BB48" s="229">
        <f t="shared" si="83"/>
        <v>1.2865416017468878</v>
      </c>
      <c r="BC48" s="229">
        <f t="shared" si="84"/>
        <v>0.20197530965920471</v>
      </c>
      <c r="BD48" s="229">
        <f t="shared" si="85"/>
        <v>15.699088889543816</v>
      </c>
      <c r="BF48" s="230">
        <f t="shared" si="86"/>
        <v>11.73</v>
      </c>
      <c r="BG48" s="230">
        <f t="shared" si="87"/>
        <v>6.27</v>
      </c>
      <c r="BH48" s="230">
        <f t="shared" si="88"/>
        <v>6.6146461538461052</v>
      </c>
      <c r="BI48" s="230">
        <f t="shared" si="192"/>
        <v>8.204882051282036</v>
      </c>
      <c r="BJ48" s="230">
        <f t="shared" si="193"/>
        <v>3.0577013682046132</v>
      </c>
      <c r="BK48" s="230">
        <f t="shared" si="89"/>
        <v>37.266853430596711</v>
      </c>
      <c r="BM48" s="227">
        <f t="shared" si="90"/>
        <v>31.73</v>
      </c>
      <c r="BN48" s="227">
        <f t="shared" si="91"/>
        <v>24.539159101240038</v>
      </c>
      <c r="BO48" s="227">
        <f t="shared" si="92"/>
        <v>22.843698218175465</v>
      </c>
      <c r="BP48" s="227">
        <f t="shared" si="93"/>
        <v>24.539159101240038</v>
      </c>
      <c r="BQ48" s="227">
        <f t="shared" si="94"/>
        <v>15.17</v>
      </c>
      <c r="BR48" s="227">
        <f t="shared" si="95"/>
        <v>22.193358675126635</v>
      </c>
      <c r="BS48" s="227">
        <f t="shared" si="96"/>
        <v>19.95</v>
      </c>
      <c r="BT48" s="227">
        <f t="shared" si="194"/>
        <v>22.995053585111741</v>
      </c>
      <c r="BU48" s="227">
        <f t="shared" si="195"/>
        <v>5.0371495028225572</v>
      </c>
      <c r="BV48" s="227">
        <f t="shared" si="97"/>
        <v>21.905361012439144</v>
      </c>
      <c r="BX48" s="231">
        <f t="shared" si="98"/>
        <v>0.33383085293325043</v>
      </c>
      <c r="BY48" s="231">
        <f t="shared" si="99"/>
        <v>0.30937140798499035</v>
      </c>
      <c r="BZ48" s="231">
        <f t="shared" si="100"/>
        <v>0.32313147083022176</v>
      </c>
      <c r="CA48" s="231">
        <f t="shared" si="101"/>
        <v>0.24</v>
      </c>
      <c r="CB48" s="231">
        <f t="shared" si="102"/>
        <v>0.36800485450732034</v>
      </c>
      <c r="CC48" s="231">
        <f t="shared" si="103"/>
        <v>0.31637652544003519</v>
      </c>
      <c r="CD48" s="231">
        <f t="shared" si="104"/>
        <v>0.48</v>
      </c>
      <c r="CE48" s="231">
        <f t="shared" si="105"/>
        <v>0.45288535594769236</v>
      </c>
      <c r="CF48" s="231">
        <f t="shared" si="106"/>
        <v>0.35295005845543886</v>
      </c>
      <c r="CG48" s="231">
        <f t="shared" si="107"/>
        <v>7.8925397145847967E-2</v>
      </c>
      <c r="CH48" s="231">
        <f t="shared" si="196"/>
        <v>22.361633113545032</v>
      </c>
      <c r="CJ48" s="232">
        <f t="shared" si="108"/>
        <v>1.5039873256444347</v>
      </c>
      <c r="CK48" s="232">
        <f t="shared" si="109"/>
        <v>1.5039873256444347</v>
      </c>
      <c r="CL48" s="232">
        <f t="shared" si="110"/>
        <v>2.1</v>
      </c>
      <c r="CM48" s="232">
        <f t="shared" si="111"/>
        <v>1.8694483327684135</v>
      </c>
      <c r="CN48" s="232">
        <f t="shared" si="112"/>
        <v>1.8968755812141742</v>
      </c>
      <c r="CO48" s="232">
        <f t="shared" si="113"/>
        <v>1.5290255766827003</v>
      </c>
      <c r="CP48" s="232">
        <f t="shared" si="114"/>
        <v>1.504934673351358</v>
      </c>
      <c r="CQ48" s="232">
        <f t="shared" si="115"/>
        <v>1.8767260292652281</v>
      </c>
      <c r="CR48" s="232">
        <f t="shared" si="116"/>
        <v>4.0079230699268162</v>
      </c>
      <c r="CS48" s="232">
        <f t="shared" si="117"/>
        <v>1.41</v>
      </c>
      <c r="CT48" s="232">
        <f t="shared" si="118"/>
        <v>1.4081967082663824</v>
      </c>
      <c r="CU48" s="232">
        <f t="shared" si="119"/>
        <v>1.8737367838876309</v>
      </c>
      <c r="CV48" s="232">
        <f t="shared" si="120"/>
        <v>0.74609371934206437</v>
      </c>
      <c r="CW48" s="232">
        <f t="shared" si="197"/>
        <v>39.818491356831267</v>
      </c>
      <c r="CY48" s="229">
        <f t="shared" si="198"/>
        <v>1.19</v>
      </c>
      <c r="CZ48" s="229">
        <f t="shared" si="199"/>
        <v>0.74719909614783098</v>
      </c>
      <c r="DA48" s="229">
        <f t="shared" si="200"/>
        <v>0.51993287599133464</v>
      </c>
      <c r="DB48" s="229">
        <f t="shared" si="201"/>
        <v>1.1967826176885574</v>
      </c>
      <c r="DC48" s="229">
        <f t="shared" si="202"/>
        <v>0.57999999999999996</v>
      </c>
      <c r="DD48" s="229">
        <f t="shared" si="203"/>
        <v>0.55998925128718002</v>
      </c>
      <c r="DE48" s="229">
        <f t="shared" si="204"/>
        <v>0.8</v>
      </c>
      <c r="DF48" s="229">
        <f t="shared" si="205"/>
        <v>0.79912912015927184</v>
      </c>
      <c r="DG48" s="229">
        <f t="shared" si="206"/>
        <v>0.2877388357445238</v>
      </c>
      <c r="DH48" s="229">
        <f t="shared" si="207"/>
        <v>36.006551192525123</v>
      </c>
      <c r="DJ48" s="234">
        <f t="shared" si="121"/>
        <v>0.11839772741500376</v>
      </c>
      <c r="DK48" s="234">
        <f t="shared" si="122"/>
        <v>0.15999692893919429</v>
      </c>
      <c r="DL48" s="234">
        <f t="shared" si="123"/>
        <v>0.11592358864950858</v>
      </c>
      <c r="DM48" s="234">
        <f t="shared" si="208"/>
        <v>0.13143941500123554</v>
      </c>
      <c r="DN48" s="234">
        <f t="shared" si="209"/>
        <v>2.4762452269419175E-2</v>
      </c>
      <c r="DO48" s="234">
        <f t="shared" si="210"/>
        <v>18.839441935424322</v>
      </c>
      <c r="DQ48" s="229">
        <f t="shared" si="124"/>
        <v>3.49</v>
      </c>
      <c r="DR48" s="229">
        <f t="shared" si="125"/>
        <v>3.8365296501904509</v>
      </c>
      <c r="DS48" s="229">
        <f t="shared" si="126"/>
        <v>3.004772063971314</v>
      </c>
      <c r="DT48" s="229">
        <f t="shared" si="127"/>
        <v>2.6661225290776187</v>
      </c>
      <c r="DU48" s="229">
        <f t="shared" si="128"/>
        <v>3.8365296501904509</v>
      </c>
      <c r="DV48" s="229">
        <f t="shared" si="129"/>
        <v>1.97</v>
      </c>
      <c r="DW48" s="229">
        <f t="shared" si="130"/>
        <v>1.6852</v>
      </c>
      <c r="DX48" s="229">
        <f t="shared" si="131"/>
        <v>3.4745556232893131</v>
      </c>
      <c r="DY48" s="229">
        <f t="shared" si="211"/>
        <v>2.9954636895898936</v>
      </c>
      <c r="DZ48" s="229">
        <f t="shared" si="212"/>
        <v>0.82512320328351907</v>
      </c>
      <c r="EA48" s="229">
        <f t="shared" si="213"/>
        <v>27.545758813604117</v>
      </c>
      <c r="EC48" s="235">
        <f t="shared" si="132"/>
        <v>0.21394857759670488</v>
      </c>
      <c r="ED48" s="235">
        <f t="shared" si="133"/>
        <v>0.15</v>
      </c>
      <c r="EE48" s="235">
        <f t="shared" si="134"/>
        <v>0.17599662183311371</v>
      </c>
      <c r="EF48" s="235">
        <f t="shared" si="135"/>
        <v>0.14574538138723253</v>
      </c>
      <c r="EG48" s="235">
        <f t="shared" si="136"/>
        <v>0.17142264520426276</v>
      </c>
      <c r="EH48" s="235">
        <f t="shared" si="137"/>
        <v>3.134553552860412E-2</v>
      </c>
      <c r="EI48" s="235">
        <f t="shared" si="214"/>
        <v>18.28552784916695</v>
      </c>
      <c r="EK48" s="236">
        <f t="shared" si="138"/>
        <v>20.705381659388649</v>
      </c>
      <c r="EL48" s="236">
        <f t="shared" si="139"/>
        <v>30.951628322100376</v>
      </c>
      <c r="EM48" s="236">
        <f t="shared" si="140"/>
        <v>31.615554976609168</v>
      </c>
      <c r="EN48" s="236">
        <f t="shared" si="141"/>
        <v>14.4</v>
      </c>
      <c r="EO48" s="236">
        <f t="shared" si="142"/>
        <v>29.928033112655303</v>
      </c>
      <c r="EP48" s="236">
        <f t="shared" si="143"/>
        <v>31.615554976609168</v>
      </c>
      <c r="EQ48" s="236">
        <f t="shared" si="144"/>
        <v>33.110926376169878</v>
      </c>
      <c r="ER48" s="236">
        <f t="shared" si="145"/>
        <v>27.475297060504651</v>
      </c>
      <c r="ES48" s="236">
        <f t="shared" si="146"/>
        <v>7.0821339762801978</v>
      </c>
      <c r="ET48" s="236">
        <f t="shared" si="215"/>
        <v>25.776369080502736</v>
      </c>
      <c r="EV48" s="238">
        <f t="shared" si="147"/>
        <v>1.5999692893919427E-2</v>
      </c>
      <c r="EW48" s="238">
        <f t="shared" si="148"/>
        <v>1.5999692893919427E-2</v>
      </c>
      <c r="EX48" s="238" t="e">
        <f t="shared" si="149"/>
        <v>#DIV/0!</v>
      </c>
      <c r="EY48" s="238" t="e">
        <f t="shared" si="216"/>
        <v>#DIV/0!</v>
      </c>
      <c r="FA48" s="240">
        <f t="shared" si="150"/>
        <v>0.49599047971150223</v>
      </c>
      <c r="FB48" s="240">
        <f t="shared" si="151"/>
        <v>0.6663872090317442</v>
      </c>
      <c r="FC48" s="240">
        <f t="shared" si="152"/>
        <v>0.58118884437162321</v>
      </c>
      <c r="FD48" s="240">
        <f t="shared" si="153"/>
        <v>0.12048868279435147</v>
      </c>
      <c r="FE48" s="240">
        <f t="shared" si="217"/>
        <v>20.73141698454706</v>
      </c>
      <c r="FG48" s="236">
        <f t="shared" si="154"/>
        <v>1.2</v>
      </c>
      <c r="FH48" s="236">
        <f t="shared" si="155"/>
        <v>1.3876609007404752</v>
      </c>
      <c r="FI48" s="236">
        <f t="shared" si="156"/>
        <v>1.3199746637483529</v>
      </c>
      <c r="FJ48" s="236">
        <f t="shared" si="157"/>
        <v>0.92</v>
      </c>
      <c r="FK48" s="236">
        <f t="shared" si="158"/>
        <v>1.2799754315135543</v>
      </c>
      <c r="FL48" s="236">
        <f t="shared" si="159"/>
        <v>0.9</v>
      </c>
      <c r="FM48" s="236">
        <f t="shared" si="160"/>
        <v>1.1679351660003972</v>
      </c>
      <c r="FN48" s="236">
        <f t="shared" si="161"/>
        <v>0.20891992809567211</v>
      </c>
      <c r="FO48" s="236">
        <f t="shared" si="218"/>
        <v>17.887973080827766</v>
      </c>
      <c r="FQ48" s="227">
        <f t="shared" si="162"/>
        <v>0.32</v>
      </c>
      <c r="FR48" s="227">
        <f t="shared" si="163"/>
        <v>0.34637018103678341</v>
      </c>
      <c r="FS48" s="227">
        <f t="shared" si="164"/>
        <v>0.34637018103678341</v>
      </c>
      <c r="FT48" s="227">
        <f t="shared" si="165"/>
        <v>0.24</v>
      </c>
      <c r="FU48" s="227">
        <f t="shared" si="166"/>
        <v>0.33335360144481124</v>
      </c>
      <c r="FV48" s="227">
        <f t="shared" si="219"/>
        <v>0.31721879270367564</v>
      </c>
      <c r="FW48" s="227">
        <f t="shared" si="220"/>
        <v>4.4526441574772854E-2</v>
      </c>
      <c r="FX48" s="227">
        <f t="shared" si="221"/>
        <v>14.036508113302872</v>
      </c>
      <c r="FZ48" s="230">
        <f t="shared" si="167"/>
        <v>1.6799677538615401</v>
      </c>
      <c r="GA48" s="230">
        <f t="shared" si="168"/>
        <v>2.4700000000000002</v>
      </c>
      <c r="GB48" s="230">
        <f t="shared" si="169"/>
        <v>3.5936442687485806</v>
      </c>
      <c r="GC48" s="230">
        <f t="shared" si="170"/>
        <v>2.5812040075367069</v>
      </c>
      <c r="GD48" s="230">
        <f t="shared" si="171"/>
        <v>0.96167260508798991</v>
      </c>
      <c r="GE48" s="230">
        <f t="shared" si="222"/>
        <v>37.256745390138022</v>
      </c>
      <c r="GG48" s="231">
        <f t="shared" si="172"/>
        <v>0.111997850257436</v>
      </c>
      <c r="GH48" s="231">
        <f t="shared" si="173"/>
        <v>0.05</v>
      </c>
      <c r="GI48" s="231">
        <f t="shared" si="174"/>
        <v>0.05</v>
      </c>
      <c r="GJ48" s="231">
        <f t="shared" si="175"/>
        <v>0.12415761685681476</v>
      </c>
      <c r="GK48" s="245">
        <f t="shared" si="186"/>
        <v>7.4719205618938259E-2</v>
      </c>
      <c r="GL48" s="231">
        <f t="shared" si="187"/>
        <v>4.2814920054743119E-2</v>
      </c>
      <c r="GM48" s="231">
        <f t="shared" si="223"/>
        <v>57.301091064987567</v>
      </c>
      <c r="GO48" s="246">
        <f t="shared" si="176"/>
        <v>0.18</v>
      </c>
      <c r="GP48" s="246">
        <f t="shared" si="177"/>
        <v>0.18399646828007341</v>
      </c>
      <c r="GQ48" s="247">
        <f t="shared" si="188"/>
        <v>0.18199823414003669</v>
      </c>
      <c r="GR48" s="246">
        <f t="shared" si="189"/>
        <v>2.825929821636848E-3</v>
      </c>
      <c r="GS48" s="246">
        <f t="shared" si="224"/>
        <v>1.5527237585516709</v>
      </c>
      <c r="GU48" s="249">
        <f t="shared" si="178"/>
        <v>2.266356498423687E-2</v>
      </c>
      <c r="GV48" s="249">
        <f t="shared" si="179"/>
        <v>2.266356498423687E-2</v>
      </c>
      <c r="GW48" s="249" t="e">
        <f t="shared" si="180"/>
        <v>#DIV/0!</v>
      </c>
      <c r="GX48" s="249" t="e">
        <f t="shared" si="225"/>
        <v>#DIV/0!</v>
      </c>
      <c r="GZ48" s="240">
        <f t="shared" si="181"/>
        <v>2.3999539340879145E-2</v>
      </c>
      <c r="HA48" s="240">
        <f t="shared" si="182"/>
        <v>2.3999539340879145E-2</v>
      </c>
      <c r="HB48" s="240" t="e">
        <f t="shared" si="183"/>
        <v>#DIV/0!</v>
      </c>
      <c r="HC48" s="240" t="e">
        <f t="shared" si="226"/>
        <v>#DIV/0!</v>
      </c>
      <c r="HE48" s="234">
        <f t="shared" si="184"/>
        <v>9.4767972718820578E-2</v>
      </c>
      <c r="HF48" s="234">
        <f t="shared" si="185"/>
        <v>9.4767972718820578E-2</v>
      </c>
      <c r="HG48" s="251">
        <f t="shared" si="190"/>
        <v>9.4767972718820578E-2</v>
      </c>
      <c r="HH48" s="234">
        <f t="shared" si="191"/>
        <v>0</v>
      </c>
      <c r="HI48" s="234">
        <f t="shared" si="227"/>
        <v>0</v>
      </c>
    </row>
    <row r="49" spans="2:217" ht="15.6" x14ac:dyDescent="0.25">
      <c r="B49">
        <v>45</v>
      </c>
      <c r="C49" s="124">
        <f t="shared" si="38"/>
        <v>80.081117751305101</v>
      </c>
      <c r="D49" s="124">
        <f t="shared" si="39"/>
        <v>173.83055364691199</v>
      </c>
      <c r="E49" s="29">
        <f t="shared" si="40"/>
        <v>2.1664263278127356</v>
      </c>
      <c r="F49" s="29">
        <f t="shared" si="41"/>
        <v>1.980245783180997</v>
      </c>
      <c r="G49" s="29">
        <f t="shared" si="42"/>
        <v>1.9474129762991834</v>
      </c>
      <c r="H49" s="29">
        <f t="shared" si="43"/>
        <v>1.9794031254009199</v>
      </c>
      <c r="I49" s="29">
        <f t="shared" si="44"/>
        <v>2.0048612697665988</v>
      </c>
      <c r="J49" s="29">
        <f t="shared" si="45"/>
        <v>1.9794031254009199</v>
      </c>
      <c r="K49" s="29">
        <f t="shared" si="46"/>
        <v>1.9664226568521239</v>
      </c>
      <c r="L49" s="125">
        <f t="shared" si="0"/>
        <v>2.0034536092447826</v>
      </c>
      <c r="M49" s="126">
        <f t="shared" si="1"/>
        <v>7.3902398718940263E-2</v>
      </c>
      <c r="N49" s="126">
        <f t="shared" si="47"/>
        <v>3.688750185076576</v>
      </c>
      <c r="P49" s="138">
        <f t="shared" si="48"/>
        <v>420.72525794140432</v>
      </c>
      <c r="Q49" s="138">
        <f t="shared" si="49"/>
        <v>325.79239999999999</v>
      </c>
      <c r="R49" s="138">
        <f t="shared" si="50"/>
        <v>420.72525794140432</v>
      </c>
      <c r="S49" s="138">
        <f t="shared" si="51"/>
        <v>390.06677870078778</v>
      </c>
      <c r="T49" s="138">
        <f t="shared" si="52"/>
        <v>462.47427073208587</v>
      </c>
      <c r="U49" s="138">
        <f t="shared" si="53"/>
        <v>420.72525794140432</v>
      </c>
      <c r="V49" s="138">
        <f t="shared" si="54"/>
        <v>288.52950000000004</v>
      </c>
      <c r="W49" s="138">
        <f t="shared" si="55"/>
        <v>389.86267475101238</v>
      </c>
      <c r="X49" s="138">
        <f t="shared" si="56"/>
        <v>61.24186349315071</v>
      </c>
      <c r="Y49" s="138">
        <f t="shared" si="57"/>
        <v>15.708573161630083</v>
      </c>
      <c r="AA49" s="227">
        <f t="shared" si="228"/>
        <v>0.44800141874999999</v>
      </c>
      <c r="AB49" s="227">
        <f t="shared" si="229"/>
        <v>0.40671052631578947</v>
      </c>
      <c r="AC49" s="227">
        <f t="shared" si="230"/>
        <v>0.47</v>
      </c>
      <c r="AD49" s="227">
        <f t="shared" si="231"/>
        <v>0.44800141874999999</v>
      </c>
      <c r="AE49" s="227">
        <f t="shared" si="62"/>
        <v>0.44317834095394737</v>
      </c>
      <c r="AF49" s="227">
        <f t="shared" si="63"/>
        <v>2.6431212970774352E-2</v>
      </c>
      <c r="AG49" s="227">
        <f t="shared" si="64"/>
        <v>5.9640127976202102</v>
      </c>
      <c r="AI49" s="228">
        <f t="shared" si="65"/>
        <v>4.4823910152231159</v>
      </c>
      <c r="AJ49" s="228">
        <f t="shared" si="66"/>
        <v>4.4823910152231159</v>
      </c>
      <c r="AK49" s="228">
        <f t="shared" si="67"/>
        <v>4.4823910152231159</v>
      </c>
      <c r="AL49" s="228">
        <f t="shared" si="68"/>
        <v>7.1810320532625758</v>
      </c>
      <c r="AM49" s="228">
        <f t="shared" si="69"/>
        <v>4.28</v>
      </c>
      <c r="AN49" s="228">
        <f t="shared" si="70"/>
        <v>5.2052726538348315</v>
      </c>
      <c r="AO49" s="228">
        <f t="shared" si="71"/>
        <v>4.5935722647086052</v>
      </c>
      <c r="AP49" s="228">
        <f t="shared" si="72"/>
        <v>4.9581500024964811</v>
      </c>
      <c r="AQ49" s="228">
        <f t="shared" si="73"/>
        <v>1.0225880900207007</v>
      </c>
      <c r="AR49" s="228">
        <f t="shared" si="74"/>
        <v>20.624387916981473</v>
      </c>
      <c r="AT49" s="229">
        <f t="shared" si="75"/>
        <v>1.4143258426966292</v>
      </c>
      <c r="AU49" s="229">
        <f t="shared" si="76"/>
        <v>1.47</v>
      </c>
      <c r="AV49" s="229">
        <f t="shared" si="77"/>
        <v>1.3286578308174541</v>
      </c>
      <c r="AW49" s="229">
        <f t="shared" si="78"/>
        <v>1.4143258426966292</v>
      </c>
      <c r="AX49" s="229">
        <f t="shared" si="79"/>
        <v>0.8404879409658772</v>
      </c>
      <c r="AY49" s="229">
        <f t="shared" si="80"/>
        <v>1.3</v>
      </c>
      <c r="AZ49" s="229">
        <f t="shared" si="81"/>
        <v>1.2999999999939631</v>
      </c>
      <c r="BA49" s="229">
        <f t="shared" si="82"/>
        <v>1.240649409961176</v>
      </c>
      <c r="BB49" s="229">
        <f t="shared" si="83"/>
        <v>1.288555858391466</v>
      </c>
      <c r="BC49" s="229">
        <f t="shared" si="84"/>
        <v>0.19620985332846233</v>
      </c>
      <c r="BD49" s="229">
        <f t="shared" si="85"/>
        <v>15.227112744137891</v>
      </c>
      <c r="BF49" s="230">
        <f t="shared" si="86"/>
        <v>11.73</v>
      </c>
      <c r="BG49" s="230">
        <f t="shared" si="87"/>
        <v>6.27</v>
      </c>
      <c r="BH49" s="230">
        <f t="shared" si="88"/>
        <v>6.6146461538461363</v>
      </c>
      <c r="BI49" s="230">
        <f t="shared" si="192"/>
        <v>8.2048820512820466</v>
      </c>
      <c r="BJ49" s="230">
        <f t="shared" si="193"/>
        <v>3.0577013682046088</v>
      </c>
      <c r="BK49" s="230">
        <f t="shared" si="89"/>
        <v>37.266853430596605</v>
      </c>
      <c r="BM49" s="227">
        <f t="shared" si="90"/>
        <v>31.73</v>
      </c>
      <c r="BN49" s="227">
        <f t="shared" si="91"/>
        <v>24.542321810739764</v>
      </c>
      <c r="BO49" s="227">
        <f t="shared" si="92"/>
        <v>22.85132077236247</v>
      </c>
      <c r="BP49" s="227">
        <f t="shared" si="93"/>
        <v>24.542321810739764</v>
      </c>
      <c r="BQ49" s="227">
        <f t="shared" si="94"/>
        <v>15.17</v>
      </c>
      <c r="BR49" s="227">
        <f t="shared" si="95"/>
        <v>22.096720398486067</v>
      </c>
      <c r="BS49" s="227">
        <f t="shared" si="96"/>
        <v>19.95</v>
      </c>
      <c r="BT49" s="227">
        <f t="shared" si="194"/>
        <v>22.983240684618295</v>
      </c>
      <c r="BU49" s="227">
        <f t="shared" si="195"/>
        <v>5.0401366807598551</v>
      </c>
      <c r="BV49" s="227">
        <f t="shared" si="97"/>
        <v>21.929617106316098</v>
      </c>
      <c r="BX49" s="231">
        <f t="shared" si="98"/>
        <v>0.33376324524138795</v>
      </c>
      <c r="BY49" s="231">
        <f t="shared" si="99"/>
        <v>0.30926594498370785</v>
      </c>
      <c r="BZ49" s="231">
        <f t="shared" si="100"/>
        <v>0.3233753507697586</v>
      </c>
      <c r="CA49" s="231">
        <f t="shared" si="101"/>
        <v>0.24</v>
      </c>
      <c r="CB49" s="231">
        <f t="shared" si="102"/>
        <v>0.36838270634494902</v>
      </c>
      <c r="CC49" s="231">
        <f t="shared" si="103"/>
        <v>0.31629868508393061</v>
      </c>
      <c r="CD49" s="231">
        <f t="shared" si="104"/>
        <v>0.48</v>
      </c>
      <c r="CE49" s="231">
        <f t="shared" si="105"/>
        <v>0.45236738231406742</v>
      </c>
      <c r="CF49" s="231">
        <f t="shared" si="106"/>
        <v>0.35293166434222512</v>
      </c>
      <c r="CG49" s="231">
        <f t="shared" si="107"/>
        <v>7.8845050233935579E-2</v>
      </c>
      <c r="CH49" s="231">
        <f t="shared" si="196"/>
        <v>22.340032986522392</v>
      </c>
      <c r="CJ49" s="232">
        <f t="shared" si="108"/>
        <v>1.5042306637431964</v>
      </c>
      <c r="CK49" s="232">
        <f t="shared" si="109"/>
        <v>1.5042306637431964</v>
      </c>
      <c r="CL49" s="232">
        <f t="shared" si="110"/>
        <v>2.1</v>
      </c>
      <c r="CM49" s="232">
        <f t="shared" si="111"/>
        <v>1.8707493105234594</v>
      </c>
      <c r="CN49" s="232">
        <f t="shared" si="112"/>
        <v>1.8959591699657035</v>
      </c>
      <c r="CO49" s="232">
        <f t="shared" si="113"/>
        <v>1.5302576554225187</v>
      </c>
      <c r="CP49" s="232">
        <f t="shared" si="114"/>
        <v>1.5051781647265374</v>
      </c>
      <c r="CQ49" s="232">
        <f t="shared" si="115"/>
        <v>1.8785714330437278</v>
      </c>
      <c r="CR49" s="232">
        <f t="shared" si="116"/>
        <v>4.012063999340385</v>
      </c>
      <c r="CS49" s="232">
        <f t="shared" si="117"/>
        <v>1.41</v>
      </c>
      <c r="CT49" s="232">
        <f t="shared" si="118"/>
        <v>1.4078730367853434</v>
      </c>
      <c r="CU49" s="232">
        <f t="shared" si="119"/>
        <v>1.8744649179358246</v>
      </c>
      <c r="CV49" s="232">
        <f t="shared" si="120"/>
        <v>0.7472029425333514</v>
      </c>
      <c r="CW49" s="232">
        <f t="shared" si="197"/>
        <v>39.862199360667525</v>
      </c>
      <c r="CY49" s="229">
        <f t="shared" si="198"/>
        <v>1.19</v>
      </c>
      <c r="CZ49" s="229">
        <f t="shared" si="199"/>
        <v>0.74969565264869131</v>
      </c>
      <c r="DA49" s="229">
        <f t="shared" si="200"/>
        <v>0.5193985489029439</v>
      </c>
      <c r="DB49" s="229">
        <f t="shared" si="201"/>
        <v>1.1977179535506981</v>
      </c>
      <c r="DC49" s="229">
        <f t="shared" si="202"/>
        <v>0.57999999999999996</v>
      </c>
      <c r="DD49" s="229">
        <f t="shared" si="203"/>
        <v>0.56056782425913576</v>
      </c>
      <c r="DE49" s="229">
        <f t="shared" si="204"/>
        <v>0.8</v>
      </c>
      <c r="DF49" s="229">
        <f t="shared" si="205"/>
        <v>0.79962571133735261</v>
      </c>
      <c r="DG49" s="229">
        <f t="shared" si="206"/>
        <v>0.28788714757486555</v>
      </c>
      <c r="DH49" s="229">
        <f t="shared" si="207"/>
        <v>36.002737717548129</v>
      </c>
      <c r="DJ49" s="234">
        <f t="shared" si="121"/>
        <v>0.11852005427193155</v>
      </c>
      <c r="DK49" s="234">
        <f t="shared" si="122"/>
        <v>0.16016223550261022</v>
      </c>
      <c r="DL49" s="234">
        <f t="shared" si="123"/>
        <v>0.115896270695531</v>
      </c>
      <c r="DM49" s="234">
        <f t="shared" si="208"/>
        <v>0.13152618682335759</v>
      </c>
      <c r="DN49" s="234">
        <f t="shared" si="209"/>
        <v>2.4834220805862627E-2</v>
      </c>
      <c r="DO49" s="234">
        <f t="shared" si="210"/>
        <v>18.881578950673529</v>
      </c>
      <c r="DQ49" s="229">
        <f t="shared" si="124"/>
        <v>3.49</v>
      </c>
      <c r="DR49" s="229">
        <f t="shared" si="125"/>
        <v>3.8370521198053469</v>
      </c>
      <c r="DS49" s="229">
        <f t="shared" si="126"/>
        <v>3.0051804138671736</v>
      </c>
      <c r="DT49" s="229">
        <f t="shared" si="127"/>
        <v>2.6683124159755462</v>
      </c>
      <c r="DU49" s="229">
        <f t="shared" si="128"/>
        <v>3.8370521198053469</v>
      </c>
      <c r="DV49" s="229">
        <f t="shared" si="129"/>
        <v>1.97</v>
      </c>
      <c r="DW49" s="229">
        <f t="shared" si="130"/>
        <v>1.7235</v>
      </c>
      <c r="DX49" s="229">
        <f t="shared" si="131"/>
        <v>3.4761072286038193</v>
      </c>
      <c r="DY49" s="229">
        <f t="shared" si="211"/>
        <v>3.000900537257154</v>
      </c>
      <c r="DZ49" s="229">
        <f t="shared" si="212"/>
        <v>0.81665518584870267</v>
      </c>
      <c r="EA49" s="229">
        <f t="shared" si="213"/>
        <v>27.213670553544294</v>
      </c>
      <c r="EC49" s="235">
        <f t="shared" si="132"/>
        <v>0.2141327585930099</v>
      </c>
      <c r="ED49" s="235">
        <f t="shared" si="133"/>
        <v>0.15</v>
      </c>
      <c r="EE49" s="235">
        <f t="shared" si="134"/>
        <v>0.17617845905287124</v>
      </c>
      <c r="EF49" s="235">
        <f t="shared" si="135"/>
        <v>0.14571337220965916</v>
      </c>
      <c r="EG49" s="235">
        <f t="shared" si="136"/>
        <v>0.17150614746388507</v>
      </c>
      <c r="EH49" s="235">
        <f t="shared" si="137"/>
        <v>3.1446463001910674E-2</v>
      </c>
      <c r="EI49" s="235">
        <f t="shared" si="214"/>
        <v>18.335472790287309</v>
      </c>
      <c r="EK49" s="236">
        <f t="shared" si="138"/>
        <v>20.705381659388649</v>
      </c>
      <c r="EL49" s="236">
        <f t="shared" si="139"/>
        <v>31.076455004200085</v>
      </c>
      <c r="EM49" s="236">
        <f t="shared" si="140"/>
        <v>31.743059248416838</v>
      </c>
      <c r="EN49" s="236">
        <f t="shared" si="141"/>
        <v>14.4</v>
      </c>
      <c r="EO49" s="236">
        <f t="shared" si="142"/>
        <v>30.06151315087542</v>
      </c>
      <c r="EP49" s="236">
        <f t="shared" si="143"/>
        <v>31.743059248416838</v>
      </c>
      <c r="EQ49" s="236">
        <f t="shared" si="144"/>
        <v>33.18106608654179</v>
      </c>
      <c r="ER49" s="236">
        <f t="shared" si="145"/>
        <v>27.558647771119947</v>
      </c>
      <c r="ES49" s="236">
        <f t="shared" si="146"/>
        <v>7.1342689059818083</v>
      </c>
      <c r="ET49" s="236">
        <f t="shared" si="215"/>
        <v>25.88758695721695</v>
      </c>
      <c r="EV49" s="238">
        <f t="shared" si="147"/>
        <v>1.601622355026102E-2</v>
      </c>
      <c r="EW49" s="238">
        <f t="shared" si="148"/>
        <v>1.601622355026102E-2</v>
      </c>
      <c r="EX49" s="238" t="e">
        <f t="shared" si="149"/>
        <v>#DIV/0!</v>
      </c>
      <c r="EY49" s="238" t="e">
        <f t="shared" si="216"/>
        <v>#DIV/0!</v>
      </c>
      <c r="FA49" s="240">
        <f t="shared" si="150"/>
        <v>0.4965029300580916</v>
      </c>
      <c r="FB49" s="240">
        <f t="shared" si="151"/>
        <v>0.66707571086837159</v>
      </c>
      <c r="FC49" s="240">
        <f t="shared" si="152"/>
        <v>0.58178932046323162</v>
      </c>
      <c r="FD49" s="240">
        <f t="shared" si="153"/>
        <v>0.12061316999679539</v>
      </c>
      <c r="FE49" s="240">
        <f t="shared" si="217"/>
        <v>20.731416984547071</v>
      </c>
      <c r="FG49" s="236">
        <f t="shared" si="154"/>
        <v>1.2</v>
      </c>
      <c r="FH49" s="236">
        <f t="shared" si="155"/>
        <v>1.3872669919622083</v>
      </c>
      <c r="FI49" s="236">
        <f t="shared" si="156"/>
        <v>1.3213384428965342</v>
      </c>
      <c r="FJ49" s="236">
        <f t="shared" si="157"/>
        <v>0.92</v>
      </c>
      <c r="FK49" s="236">
        <f t="shared" si="158"/>
        <v>1.2812978840208817</v>
      </c>
      <c r="FL49" s="236">
        <f t="shared" si="159"/>
        <v>0.9</v>
      </c>
      <c r="FM49" s="236">
        <f t="shared" si="160"/>
        <v>1.1683172198132707</v>
      </c>
      <c r="FN49" s="236">
        <f t="shared" si="161"/>
        <v>0.20917863112050314</v>
      </c>
      <c r="FO49" s="236">
        <f t="shared" si="218"/>
        <v>17.904266715672961</v>
      </c>
      <c r="FQ49" s="227">
        <f t="shared" si="162"/>
        <v>0.32</v>
      </c>
      <c r="FR49" s="227">
        <f t="shared" si="163"/>
        <v>0.3462985965033567</v>
      </c>
      <c r="FS49" s="227">
        <f t="shared" si="164"/>
        <v>0.3462985965033567</v>
      </c>
      <c r="FT49" s="227">
        <f t="shared" si="165"/>
        <v>0.24</v>
      </c>
      <c r="FU49" s="227">
        <f t="shared" si="166"/>
        <v>0.33369801766968832</v>
      </c>
      <c r="FV49" s="227">
        <f t="shared" si="219"/>
        <v>0.31725904213528039</v>
      </c>
      <c r="FW49" s="227">
        <f t="shared" si="220"/>
        <v>4.4534547808669986E-2</v>
      </c>
      <c r="FX49" s="227">
        <f t="shared" si="221"/>
        <v>14.037282439275693</v>
      </c>
      <c r="FZ49" s="230">
        <f t="shared" si="167"/>
        <v>1.6817034727774072</v>
      </c>
      <c r="GA49" s="230">
        <f t="shared" si="168"/>
        <v>2.4700000000000002</v>
      </c>
      <c r="GB49" s="230">
        <f t="shared" si="169"/>
        <v>3.5981573887102885</v>
      </c>
      <c r="GC49" s="230">
        <f t="shared" si="170"/>
        <v>2.5832869538292322</v>
      </c>
      <c r="GD49" s="230">
        <f t="shared" si="171"/>
        <v>0.96323639539032557</v>
      </c>
      <c r="GE49" s="230">
        <f t="shared" si="222"/>
        <v>37.287239575243881</v>
      </c>
      <c r="GG49" s="231">
        <f t="shared" si="172"/>
        <v>0.11211356485182714</v>
      </c>
      <c r="GH49" s="231">
        <f t="shared" si="173"/>
        <v>0.05</v>
      </c>
      <c r="GI49" s="231">
        <f t="shared" si="174"/>
        <v>0.05</v>
      </c>
      <c r="GJ49" s="231">
        <f t="shared" si="175"/>
        <v>0.12428589475002552</v>
      </c>
      <c r="GK49" s="245">
        <f t="shared" si="186"/>
        <v>7.476196491667518E-2</v>
      </c>
      <c r="GL49" s="231">
        <f t="shared" si="187"/>
        <v>4.2888981330919451E-2</v>
      </c>
      <c r="GM49" s="231">
        <f t="shared" si="223"/>
        <v>57.367381099093265</v>
      </c>
      <c r="GO49" s="246">
        <f t="shared" si="176"/>
        <v>0.18</v>
      </c>
      <c r="GP49" s="246">
        <f t="shared" si="177"/>
        <v>0.18418657082800172</v>
      </c>
      <c r="GQ49" s="247">
        <f t="shared" si="188"/>
        <v>0.18209328541400085</v>
      </c>
      <c r="GR49" s="246">
        <f t="shared" si="189"/>
        <v>2.9603526223977977E-3</v>
      </c>
      <c r="GS49" s="246">
        <f t="shared" si="224"/>
        <v>1.6257340931969264</v>
      </c>
      <c r="GU49" s="249">
        <f t="shared" si="178"/>
        <v>2.2686980658944735E-2</v>
      </c>
      <c r="GV49" s="249">
        <f t="shared" si="179"/>
        <v>2.2686980658944735E-2</v>
      </c>
      <c r="GW49" s="249" t="e">
        <f t="shared" si="180"/>
        <v>#DIV/0!</v>
      </c>
      <c r="GX49" s="249" t="e">
        <f t="shared" si="225"/>
        <v>#DIV/0!</v>
      </c>
      <c r="GZ49" s="240">
        <f t="shared" si="181"/>
        <v>2.4024335325391534E-2</v>
      </c>
      <c r="HA49" s="240">
        <f t="shared" si="182"/>
        <v>2.4024335325391534E-2</v>
      </c>
      <c r="HB49" s="240" t="e">
        <f t="shared" si="183"/>
        <v>#DIV/0!</v>
      </c>
      <c r="HC49" s="240" t="e">
        <f t="shared" si="226"/>
        <v>#DIV/0!</v>
      </c>
      <c r="HE49" s="234">
        <f t="shared" si="184"/>
        <v>9.4866330124053058E-2</v>
      </c>
      <c r="HF49" s="234">
        <f t="shared" si="185"/>
        <v>9.4866330124053058E-2</v>
      </c>
      <c r="HG49" s="251">
        <f t="shared" si="190"/>
        <v>9.4866330124053058E-2</v>
      </c>
      <c r="HH49" s="234">
        <f t="shared" si="191"/>
        <v>0</v>
      </c>
      <c r="HI49" s="234">
        <f t="shared" si="227"/>
        <v>0</v>
      </c>
    </row>
    <row r="50" spans="2:217" ht="15.6" x14ac:dyDescent="0.25">
      <c r="B50">
        <v>46</v>
      </c>
      <c r="C50" s="124">
        <f t="shared" si="38"/>
        <v>80.146285233283834</v>
      </c>
      <c r="D50" s="124">
        <f t="shared" si="39"/>
        <v>173.7576112229649</v>
      </c>
      <c r="E50" s="29">
        <f t="shared" si="40"/>
        <v>2.1666936739376501</v>
      </c>
      <c r="F50" s="29">
        <f t="shared" si="41"/>
        <v>1.9807246731098112</v>
      </c>
      <c r="G50" s="29">
        <f t="shared" si="42"/>
        <v>1.9474936476919924</v>
      </c>
      <c r="H50" s="29">
        <f t="shared" si="43"/>
        <v>1.9798818115467858</v>
      </c>
      <c r="I50" s="29">
        <f t="shared" si="44"/>
        <v>2.00535595200075</v>
      </c>
      <c r="J50" s="29">
        <f t="shared" si="45"/>
        <v>1.9798818115467856</v>
      </c>
      <c r="K50" s="29">
        <f t="shared" si="46"/>
        <v>1.966809816155324</v>
      </c>
      <c r="L50" s="125">
        <f t="shared" si="0"/>
        <v>2.0038344837127284</v>
      </c>
      <c r="M50" s="126">
        <f t="shared" si="1"/>
        <v>7.3882869994337921E-2</v>
      </c>
      <c r="N50" s="126">
        <f t="shared" si="47"/>
        <v>3.6870744861844509</v>
      </c>
      <c r="P50" s="138">
        <f t="shared" si="48"/>
        <v>420.80524157967301</v>
      </c>
      <c r="Q50" s="138">
        <f t="shared" si="49"/>
        <v>325.79239999999999</v>
      </c>
      <c r="R50" s="138">
        <f t="shared" si="50"/>
        <v>420.80524157967301</v>
      </c>
      <c r="S50" s="138">
        <f t="shared" si="51"/>
        <v>388.48528985735084</v>
      </c>
      <c r="T50" s="138">
        <f t="shared" si="52"/>
        <v>462.76835972710501</v>
      </c>
      <c r="U50" s="138">
        <f t="shared" si="53"/>
        <v>420.80524157967301</v>
      </c>
      <c r="V50" s="138">
        <f t="shared" si="54"/>
        <v>286.42007999999998</v>
      </c>
      <c r="W50" s="138">
        <f t="shared" si="55"/>
        <v>389.41169347478211</v>
      </c>
      <c r="X50" s="138">
        <f t="shared" si="56"/>
        <v>61.905048587236806</v>
      </c>
      <c r="Y50" s="138">
        <f t="shared" si="57"/>
        <v>15.897069765637561</v>
      </c>
      <c r="AA50" s="227">
        <f t="shared" si="228"/>
        <v>0.44747605639999999</v>
      </c>
      <c r="AB50" s="227">
        <f t="shared" si="229"/>
        <v>0.40690959409594096</v>
      </c>
      <c r="AC50" s="227">
        <f t="shared" si="230"/>
        <v>0.47</v>
      </c>
      <c r="AD50" s="227">
        <f t="shared" si="231"/>
        <v>0.44747605639999999</v>
      </c>
      <c r="AE50" s="227">
        <f t="shared" si="62"/>
        <v>0.44296542672398526</v>
      </c>
      <c r="AF50" s="227">
        <f t="shared" si="63"/>
        <v>2.6277891714430734E-2</v>
      </c>
      <c r="AG50" s="227">
        <f t="shared" si="64"/>
        <v>5.9322669736942402</v>
      </c>
      <c r="AI50" s="228">
        <f t="shared" si="65"/>
        <v>4.4834205943624106</v>
      </c>
      <c r="AJ50" s="228">
        <f t="shared" si="66"/>
        <v>4.4834205943624106</v>
      </c>
      <c r="AK50" s="228">
        <f t="shared" si="67"/>
        <v>4.4834205943624106</v>
      </c>
      <c r="AL50" s="228">
        <f t="shared" si="68"/>
        <v>7.1868739226509515</v>
      </c>
      <c r="AM50" s="228">
        <f t="shared" si="69"/>
        <v>4.28</v>
      </c>
      <c r="AN50" s="228">
        <f t="shared" si="70"/>
        <v>5.2095085401634496</v>
      </c>
      <c r="AO50" s="228">
        <f t="shared" si="71"/>
        <v>4.5945280440338276</v>
      </c>
      <c r="AP50" s="228">
        <f t="shared" si="72"/>
        <v>4.9601674699907798</v>
      </c>
      <c r="AQ50" s="228">
        <f t="shared" si="73"/>
        <v>1.0245792081716076</v>
      </c>
      <c r="AR50" s="228">
        <f t="shared" si="74"/>
        <v>20.656141438174309</v>
      </c>
      <c r="AT50" s="229">
        <f t="shared" si="75"/>
        <v>1.414976170108762</v>
      </c>
      <c r="AU50" s="229">
        <f t="shared" si="76"/>
        <v>1.47</v>
      </c>
      <c r="AV50" s="229">
        <f t="shared" si="77"/>
        <v>1.3277322250891095</v>
      </c>
      <c r="AW50" s="229">
        <f t="shared" si="78"/>
        <v>1.414976170108762</v>
      </c>
      <c r="AX50" s="229">
        <f t="shared" si="79"/>
        <v>0.85866606507665655</v>
      </c>
      <c r="AY50" s="229">
        <f t="shared" si="80"/>
        <v>1.3</v>
      </c>
      <c r="AZ50" s="229">
        <f t="shared" si="81"/>
        <v>1.2999999999965963</v>
      </c>
      <c r="BA50" s="229">
        <f t="shared" si="82"/>
        <v>1.2386785614324187</v>
      </c>
      <c r="BB50" s="229">
        <f t="shared" si="83"/>
        <v>1.2906286489765382</v>
      </c>
      <c r="BC50" s="229">
        <f t="shared" si="84"/>
        <v>0.19046615705272368</v>
      </c>
      <c r="BD50" s="229">
        <f t="shared" si="85"/>
        <v>14.757626618916476</v>
      </c>
      <c r="BF50" s="230">
        <f t="shared" si="86"/>
        <v>11.73</v>
      </c>
      <c r="BG50" s="230">
        <f t="shared" si="87"/>
        <v>6.27</v>
      </c>
      <c r="BH50" s="230">
        <f t="shared" si="88"/>
        <v>6.614646153846147</v>
      </c>
      <c r="BI50" s="230">
        <f t="shared" si="192"/>
        <v>8.2048820512820484</v>
      </c>
      <c r="BJ50" s="230">
        <f t="shared" si="193"/>
        <v>3.0577013682046088</v>
      </c>
      <c r="BK50" s="230">
        <f t="shared" si="89"/>
        <v>37.266853430596605</v>
      </c>
      <c r="BM50" s="227">
        <f t="shared" si="90"/>
        <v>31.73</v>
      </c>
      <c r="BN50" s="227">
        <f t="shared" si="91"/>
        <v>24.547342761237516</v>
      </c>
      <c r="BO50" s="227">
        <f t="shared" si="92"/>
        <v>22.857317632040765</v>
      </c>
      <c r="BP50" s="227">
        <f t="shared" si="93"/>
        <v>24.547342761237516</v>
      </c>
      <c r="BQ50" s="227">
        <f t="shared" si="94"/>
        <v>15.17</v>
      </c>
      <c r="BR50" s="227">
        <f t="shared" si="95"/>
        <v>21.989126259230851</v>
      </c>
      <c r="BS50" s="227">
        <f t="shared" si="96"/>
        <v>19.95</v>
      </c>
      <c r="BT50" s="227">
        <f t="shared" si="194"/>
        <v>22.970161344820948</v>
      </c>
      <c r="BU50" s="227">
        <f t="shared" si="195"/>
        <v>5.0439539847559418</v>
      </c>
      <c r="BV50" s="227">
        <f t="shared" si="97"/>
        <v>21.958722488003747</v>
      </c>
      <c r="BX50" s="231">
        <f t="shared" si="98"/>
        <v>0.33376345702500387</v>
      </c>
      <c r="BY50" s="231">
        <f t="shared" si="99"/>
        <v>0.30909908059667618</v>
      </c>
      <c r="BZ50" s="231">
        <f t="shared" si="100"/>
        <v>0.3235677625863117</v>
      </c>
      <c r="CA50" s="231">
        <f t="shared" si="101"/>
        <v>0.24</v>
      </c>
      <c r="CB50" s="231">
        <f t="shared" si="102"/>
        <v>0.36868058648388996</v>
      </c>
      <c r="CC50" s="231">
        <f t="shared" si="103"/>
        <v>0.31628994072989913</v>
      </c>
      <c r="CD50" s="231">
        <f t="shared" si="104"/>
        <v>0.48</v>
      </c>
      <c r="CE50" s="231">
        <f t="shared" si="105"/>
        <v>0.45207668164177317</v>
      </c>
      <c r="CF50" s="231">
        <f t="shared" si="106"/>
        <v>0.3529346886329443</v>
      </c>
      <c r="CG50" s="231">
        <f t="shared" si="107"/>
        <v>7.880469155169291E-2</v>
      </c>
      <c r="CH50" s="231">
        <f t="shared" si="196"/>
        <v>22.328406385026835</v>
      </c>
      <c r="CJ50" s="232">
        <f t="shared" si="108"/>
        <v>1.5045711117382965</v>
      </c>
      <c r="CK50" s="232">
        <f t="shared" si="109"/>
        <v>1.5045711117382965</v>
      </c>
      <c r="CL50" s="232">
        <f t="shared" si="110"/>
        <v>2.1</v>
      </c>
      <c r="CM50" s="232">
        <f t="shared" si="111"/>
        <v>1.8717131182780933</v>
      </c>
      <c r="CN50" s="232">
        <f t="shared" si="112"/>
        <v>1.8945995723801954</v>
      </c>
      <c r="CO50" s="232">
        <f t="shared" si="113"/>
        <v>1.5312288832409444</v>
      </c>
      <c r="CP50" s="232">
        <f t="shared" si="114"/>
        <v>1.5055188271666813</v>
      </c>
      <c r="CQ50" s="232">
        <f t="shared" si="115"/>
        <v>1.8800258959019647</v>
      </c>
      <c r="CR50" s="232">
        <f t="shared" si="116"/>
        <v>4.0153288901875204</v>
      </c>
      <c r="CS50" s="232">
        <f t="shared" si="117"/>
        <v>1.41</v>
      </c>
      <c r="CT50" s="232">
        <f t="shared" si="118"/>
        <v>1.4078080252312353</v>
      </c>
      <c r="CU50" s="232">
        <f t="shared" si="119"/>
        <v>1.8750332214421119</v>
      </c>
      <c r="CV50" s="232">
        <f t="shared" si="120"/>
        <v>0.74804253449196234</v>
      </c>
      <c r="CW50" s="232">
        <f t="shared" si="197"/>
        <v>39.894894977734488</v>
      </c>
      <c r="CY50" s="229">
        <f t="shared" si="198"/>
        <v>1.19</v>
      </c>
      <c r="CZ50" s="229">
        <f t="shared" si="199"/>
        <v>0.75201243359131853</v>
      </c>
      <c r="DA50" s="229">
        <f t="shared" si="200"/>
        <v>0.51909861327286055</v>
      </c>
      <c r="DB50" s="229">
        <f t="shared" si="201"/>
        <v>1.198454975169462</v>
      </c>
      <c r="DC50" s="229">
        <f t="shared" si="202"/>
        <v>0.57999999999999996</v>
      </c>
      <c r="DD50" s="229">
        <f t="shared" si="203"/>
        <v>0.56102399663298685</v>
      </c>
      <c r="DE50" s="229">
        <f t="shared" si="204"/>
        <v>0.8</v>
      </c>
      <c r="DF50" s="229">
        <f t="shared" si="205"/>
        <v>0.8000842883809467</v>
      </c>
      <c r="DG50" s="229">
        <f t="shared" si="206"/>
        <v>0.28797692132238295</v>
      </c>
      <c r="DH50" s="229">
        <f t="shared" si="207"/>
        <v>35.993322891658579</v>
      </c>
      <c r="DJ50" s="234">
        <f t="shared" si="121"/>
        <v>0.11861650214526007</v>
      </c>
      <c r="DK50" s="234">
        <f t="shared" si="122"/>
        <v>0.16029257046656767</v>
      </c>
      <c r="DL50" s="234">
        <f t="shared" si="123"/>
        <v>0.1158947395505953</v>
      </c>
      <c r="DM50" s="234">
        <f t="shared" si="208"/>
        <v>0.13160127072080768</v>
      </c>
      <c r="DN50" s="234">
        <f t="shared" si="209"/>
        <v>2.488463398829114E-2</v>
      </c>
      <c r="DO50" s="234">
        <f t="shared" si="210"/>
        <v>18.909113758547157</v>
      </c>
      <c r="DQ50" s="229">
        <f t="shared" si="124"/>
        <v>3.49</v>
      </c>
      <c r="DR50" s="229">
        <f t="shared" si="125"/>
        <v>3.837783093692555</v>
      </c>
      <c r="DS50" s="229">
        <f t="shared" si="126"/>
        <v>3.0057517255690924</v>
      </c>
      <c r="DT50" s="229">
        <f t="shared" si="127"/>
        <v>2.6700400014909311</v>
      </c>
      <c r="DU50" s="229">
        <f t="shared" si="128"/>
        <v>3.837783093692555</v>
      </c>
      <c r="DV50" s="229">
        <f t="shared" si="129"/>
        <v>1.97</v>
      </c>
      <c r="DW50" s="229">
        <f t="shared" si="130"/>
        <v>1.7618</v>
      </c>
      <c r="DX50" s="229">
        <f t="shared" si="131"/>
        <v>3.4782792020831756</v>
      </c>
      <c r="DY50" s="229">
        <f t="shared" si="211"/>
        <v>3.0064296395660386</v>
      </c>
      <c r="DZ50" s="229">
        <f t="shared" si="212"/>
        <v>0.80845772220435619</v>
      </c>
      <c r="EA50" s="229">
        <f t="shared" si="213"/>
        <v>26.890957684978538</v>
      </c>
      <c r="EC50" s="235">
        <f t="shared" si="132"/>
        <v>0.21427792133345505</v>
      </c>
      <c r="ED50" s="235">
        <f t="shared" si="133"/>
        <v>0.15</v>
      </c>
      <c r="EE50" s="235">
        <f t="shared" si="134"/>
        <v>0.17632182751322445</v>
      </c>
      <c r="EF50" s="235">
        <f t="shared" si="135"/>
        <v>0.14571157812617191</v>
      </c>
      <c r="EG50" s="235">
        <f t="shared" si="136"/>
        <v>0.17157783174321284</v>
      </c>
      <c r="EH50" s="235">
        <f t="shared" si="137"/>
        <v>3.1519671348752526E-2</v>
      </c>
      <c r="EI50" s="235">
        <f t="shared" si="214"/>
        <v>18.370480048917717</v>
      </c>
      <c r="EK50" s="236">
        <f t="shared" si="138"/>
        <v>20.705381659388649</v>
      </c>
      <c r="EL50" s="236">
        <f t="shared" si="139"/>
        <v>31.177527421345335</v>
      </c>
      <c r="EM50" s="236">
        <f t="shared" si="140"/>
        <v>31.846299715368062</v>
      </c>
      <c r="EN50" s="236">
        <f t="shared" si="141"/>
        <v>14.4</v>
      </c>
      <c r="EO50" s="236">
        <f t="shared" si="142"/>
        <v>30.186403913071523</v>
      </c>
      <c r="EP50" s="236">
        <f t="shared" si="143"/>
        <v>31.846299715368062</v>
      </c>
      <c r="EQ50" s="236">
        <f t="shared" si="144"/>
        <v>33.236391100217276</v>
      </c>
      <c r="ER50" s="236">
        <f t="shared" si="145"/>
        <v>27.62832907496556</v>
      </c>
      <c r="ES50" s="236">
        <f t="shared" si="146"/>
        <v>7.1773876299038788</v>
      </c>
      <c r="ET50" s="236">
        <f t="shared" si="215"/>
        <v>25.978363043342412</v>
      </c>
      <c r="EV50" s="238">
        <f t="shared" si="147"/>
        <v>1.6029257046656767E-2</v>
      </c>
      <c r="EW50" s="238">
        <f t="shared" si="148"/>
        <v>1.6029257046656767E-2</v>
      </c>
      <c r="EX50" s="238" t="e">
        <f t="shared" si="149"/>
        <v>#DIV/0!</v>
      </c>
      <c r="EY50" s="238" t="e">
        <f t="shared" si="216"/>
        <v>#DIV/0!</v>
      </c>
      <c r="FA50" s="240">
        <f t="shared" si="150"/>
        <v>0.49690696844635973</v>
      </c>
      <c r="FB50" s="240">
        <f t="shared" si="151"/>
        <v>0.66761855599325437</v>
      </c>
      <c r="FC50" s="240">
        <f t="shared" si="152"/>
        <v>0.58226276221980711</v>
      </c>
      <c r="FD50" s="240">
        <f t="shared" si="153"/>
        <v>0.1207113211815299</v>
      </c>
      <c r="FE50" s="240">
        <f t="shared" si="217"/>
        <v>20.731416984547053</v>
      </c>
      <c r="FG50" s="236">
        <f t="shared" si="154"/>
        <v>1.2</v>
      </c>
      <c r="FH50" s="236">
        <f t="shared" si="155"/>
        <v>1.3868315529044974</v>
      </c>
      <c r="FI50" s="236">
        <f t="shared" si="156"/>
        <v>1.3224137063491834</v>
      </c>
      <c r="FJ50" s="236">
        <f t="shared" si="157"/>
        <v>0.92</v>
      </c>
      <c r="FK50" s="236">
        <f t="shared" si="158"/>
        <v>1.2823405637325413</v>
      </c>
      <c r="FL50" s="236">
        <f t="shared" si="159"/>
        <v>0.9</v>
      </c>
      <c r="FM50" s="236">
        <f t="shared" si="160"/>
        <v>1.1685976371643705</v>
      </c>
      <c r="FN50" s="236">
        <f t="shared" si="161"/>
        <v>0.20935828751147154</v>
      </c>
      <c r="FO50" s="236">
        <f t="shared" si="218"/>
        <v>17.915344071675886</v>
      </c>
      <c r="FQ50" s="227">
        <f t="shared" si="162"/>
        <v>0.32</v>
      </c>
      <c r="FR50" s="227">
        <f t="shared" si="163"/>
        <v>0.3462994141752424</v>
      </c>
      <c r="FS50" s="227">
        <f t="shared" si="164"/>
        <v>0.3462994141752424</v>
      </c>
      <c r="FT50" s="227">
        <f t="shared" si="165"/>
        <v>0.24</v>
      </c>
      <c r="FU50" s="227">
        <f t="shared" si="166"/>
        <v>0.3339695705670937</v>
      </c>
      <c r="FV50" s="227">
        <f t="shared" si="219"/>
        <v>0.31731367978351571</v>
      </c>
      <c r="FW50" s="227">
        <f t="shared" si="220"/>
        <v>4.456003167700677E-2</v>
      </c>
      <c r="FX50" s="227">
        <f t="shared" si="221"/>
        <v>14.042896514076366</v>
      </c>
      <c r="FZ50" s="230">
        <f t="shared" si="167"/>
        <v>1.6830719898989606</v>
      </c>
      <c r="GA50" s="230">
        <f t="shared" si="168"/>
        <v>2.4700000000000002</v>
      </c>
      <c r="GB50" s="230">
        <f t="shared" si="169"/>
        <v>3.6017844878187502</v>
      </c>
      <c r="GC50" s="230">
        <f t="shared" si="170"/>
        <v>2.5849521592392368</v>
      </c>
      <c r="GD50" s="230">
        <f t="shared" si="171"/>
        <v>0.96450760059406537</v>
      </c>
      <c r="GE50" s="230">
        <f t="shared" si="222"/>
        <v>37.31239656202861</v>
      </c>
      <c r="GG50" s="231">
        <f t="shared" si="172"/>
        <v>0.11220479932659737</v>
      </c>
      <c r="GH50" s="231">
        <f t="shared" si="173"/>
        <v>0.05</v>
      </c>
      <c r="GI50" s="231">
        <f t="shared" si="174"/>
        <v>0.05</v>
      </c>
      <c r="GJ50" s="231">
        <f t="shared" si="175"/>
        <v>0.12438703468205652</v>
      </c>
      <c r="GK50" s="245">
        <f t="shared" si="186"/>
        <v>7.4795678227352169E-2</v>
      </c>
      <c r="GL50" s="231">
        <f t="shared" si="187"/>
        <v>4.2947374497903361E-2</v>
      </c>
      <c r="GM50" s="231">
        <f t="shared" si="223"/>
        <v>57.419593639299151</v>
      </c>
      <c r="GO50" s="246">
        <f t="shared" si="176"/>
        <v>0.18</v>
      </c>
      <c r="GP50" s="246">
        <f t="shared" si="177"/>
        <v>0.18433645603655283</v>
      </c>
      <c r="GQ50" s="247">
        <f t="shared" si="188"/>
        <v>0.18216822801827642</v>
      </c>
      <c r="GR50" s="246">
        <f t="shared" si="189"/>
        <v>3.0663374697638469E-3</v>
      </c>
      <c r="GS50" s="246">
        <f t="shared" si="224"/>
        <v>1.6832449341584472</v>
      </c>
      <c r="GU50" s="249">
        <f t="shared" si="178"/>
        <v>2.2705442606589309E-2</v>
      </c>
      <c r="GV50" s="249">
        <f t="shared" si="179"/>
        <v>2.2705442606589309E-2</v>
      </c>
      <c r="GW50" s="249" t="e">
        <f t="shared" si="180"/>
        <v>#DIV/0!</v>
      </c>
      <c r="GX50" s="249" t="e">
        <f t="shared" si="225"/>
        <v>#DIV/0!</v>
      </c>
      <c r="GZ50" s="240">
        <f t="shared" si="181"/>
        <v>2.4043885569985154E-2</v>
      </c>
      <c r="HA50" s="240">
        <f t="shared" si="182"/>
        <v>2.4043885569985154E-2</v>
      </c>
      <c r="HB50" s="240" t="e">
        <f t="shared" si="183"/>
        <v>#DIV/0!</v>
      </c>
      <c r="HC50" s="240" t="e">
        <f t="shared" si="226"/>
        <v>#DIV/0!</v>
      </c>
      <c r="HE50" s="234">
        <f t="shared" si="184"/>
        <v>9.494387942760775E-2</v>
      </c>
      <c r="HF50" s="234">
        <f t="shared" si="185"/>
        <v>9.494387942760775E-2</v>
      </c>
      <c r="HG50" s="251">
        <f t="shared" si="190"/>
        <v>9.494387942760775E-2</v>
      </c>
      <c r="HH50" s="234">
        <f t="shared" si="191"/>
        <v>0</v>
      </c>
      <c r="HI50" s="234">
        <f t="shared" si="227"/>
        <v>0</v>
      </c>
    </row>
    <row r="51" spans="2:217" ht="15.6" x14ac:dyDescent="0.25">
      <c r="B51">
        <v>47</v>
      </c>
      <c r="C51" s="124">
        <f t="shared" si="38"/>
        <v>80.19624531547197</v>
      </c>
      <c r="D51" s="124">
        <f t="shared" si="39"/>
        <v>173.73684268770222</v>
      </c>
      <c r="E51" s="29">
        <f t="shared" si="40"/>
        <v>2.1671261305160976</v>
      </c>
      <c r="F51" s="29">
        <f t="shared" si="41"/>
        <v>1.9812605079093653</v>
      </c>
      <c r="G51" s="29">
        <f t="shared" si="42"/>
        <v>1.9478406917925666</v>
      </c>
      <c r="H51" s="29">
        <f t="shared" si="43"/>
        <v>1.9804174183315317</v>
      </c>
      <c r="I51" s="29">
        <f t="shared" si="44"/>
        <v>2.0059051797695986</v>
      </c>
      <c r="J51" s="29">
        <f t="shared" si="45"/>
        <v>1.9804174183315317</v>
      </c>
      <c r="K51" s="29">
        <f t="shared" si="46"/>
        <v>1.9673051545846025</v>
      </c>
      <c r="L51" s="125">
        <f t="shared" si="0"/>
        <v>2.0043246430336135</v>
      </c>
      <c r="M51" s="126">
        <f t="shared" si="1"/>
        <v>7.3872375092285433E-2</v>
      </c>
      <c r="N51" s="126">
        <f t="shared" si="47"/>
        <v>3.6856491960542423</v>
      </c>
      <c r="P51" s="138">
        <f t="shared" si="48"/>
        <v>420.90817503705887</v>
      </c>
      <c r="Q51" s="138">
        <f t="shared" si="49"/>
        <v>325.79239999999999</v>
      </c>
      <c r="R51" s="138">
        <f t="shared" si="50"/>
        <v>420.90817503705887</v>
      </c>
      <c r="S51" s="138">
        <f t="shared" si="51"/>
        <v>386.959754927316</v>
      </c>
      <c r="T51" s="138">
        <f t="shared" si="52"/>
        <v>462.99378511036542</v>
      </c>
      <c r="U51" s="138">
        <f t="shared" si="53"/>
        <v>420.90817503705887</v>
      </c>
      <c r="V51" s="138">
        <f t="shared" si="54"/>
        <v>284.36741999999998</v>
      </c>
      <c r="W51" s="138">
        <f t="shared" si="55"/>
        <v>388.97684073555121</v>
      </c>
      <c r="X51" s="138">
        <f t="shared" si="56"/>
        <v>62.55239334384369</v>
      </c>
      <c r="Y51" s="138">
        <f t="shared" si="57"/>
        <v>16.08126417643728</v>
      </c>
      <c r="AA51" s="227">
        <f t="shared" si="228"/>
        <v>0.44691733945000001</v>
      </c>
      <c r="AB51" s="227">
        <f t="shared" si="229"/>
        <v>0.40710144927536229</v>
      </c>
      <c r="AC51" s="227">
        <f t="shared" si="230"/>
        <v>0.47</v>
      </c>
      <c r="AD51" s="227">
        <f t="shared" si="231"/>
        <v>0.44691733945000001</v>
      </c>
      <c r="AE51" s="227">
        <f t="shared" si="62"/>
        <v>0.44273403204384054</v>
      </c>
      <c r="AF51" s="227">
        <f t="shared" si="63"/>
        <v>2.6128618314328726E-2</v>
      </c>
      <c r="AG51" s="227">
        <f t="shared" si="64"/>
        <v>5.901651199865614</v>
      </c>
      <c r="AI51" s="228">
        <f t="shared" si="65"/>
        <v>4.4847456520660831</v>
      </c>
      <c r="AJ51" s="228">
        <f t="shared" si="66"/>
        <v>4.4847456520660831</v>
      </c>
      <c r="AK51" s="228">
        <f t="shared" si="67"/>
        <v>4.4847456520660831</v>
      </c>
      <c r="AL51" s="228">
        <f t="shared" si="68"/>
        <v>7.1913525388991539</v>
      </c>
      <c r="AM51" s="228">
        <f t="shared" si="69"/>
        <v>4.28</v>
      </c>
      <c r="AN51" s="228">
        <f t="shared" si="70"/>
        <v>5.2127559455056778</v>
      </c>
      <c r="AO51" s="228">
        <f t="shared" si="71"/>
        <v>4.5957580664805775</v>
      </c>
      <c r="AP51" s="228">
        <f t="shared" si="72"/>
        <v>4.962014786726237</v>
      </c>
      <c r="AQ51" s="228">
        <f t="shared" si="73"/>
        <v>1.0259518813525914</v>
      </c>
      <c r="AR51" s="228">
        <f t="shared" si="74"/>
        <v>20.676114954294171</v>
      </c>
      <c r="AT51" s="229">
        <f t="shared" si="75"/>
        <v>1.4155995691718524</v>
      </c>
      <c r="AU51" s="229">
        <f t="shared" si="76"/>
        <v>1.47</v>
      </c>
      <c r="AV51" s="229">
        <f t="shared" si="77"/>
        <v>1.3271829098660082</v>
      </c>
      <c r="AW51" s="229">
        <f t="shared" si="78"/>
        <v>1.4155995691718524</v>
      </c>
      <c r="AX51" s="229">
        <f t="shared" si="79"/>
        <v>0.8769426545745419</v>
      </c>
      <c r="AY51" s="229">
        <f t="shared" si="80"/>
        <v>1.3</v>
      </c>
      <c r="AZ51" s="229">
        <f t="shared" si="81"/>
        <v>1.2999999999980809</v>
      </c>
      <c r="BA51" s="229">
        <f t="shared" si="82"/>
        <v>1.2367108437187755</v>
      </c>
      <c r="BB51" s="229">
        <f t="shared" si="83"/>
        <v>1.2927544433126388</v>
      </c>
      <c r="BC51" s="229">
        <f t="shared" si="84"/>
        <v>0.18475021030792893</v>
      </c>
      <c r="BD51" s="229">
        <f t="shared" si="85"/>
        <v>14.291206753427424</v>
      </c>
      <c r="BF51" s="230">
        <f t="shared" si="86"/>
        <v>11.73</v>
      </c>
      <c r="BG51" s="230">
        <f t="shared" si="87"/>
        <v>6.27</v>
      </c>
      <c r="BH51" s="230">
        <f t="shared" si="88"/>
        <v>6.6146461538461514</v>
      </c>
      <c r="BI51" s="230">
        <f t="shared" si="192"/>
        <v>8.2048820512820502</v>
      </c>
      <c r="BJ51" s="230">
        <f t="shared" si="193"/>
        <v>3.0577013682046044</v>
      </c>
      <c r="BK51" s="230">
        <f t="shared" si="89"/>
        <v>37.266853430596534</v>
      </c>
      <c r="BM51" s="227">
        <f t="shared" si="90"/>
        <v>31.73</v>
      </c>
      <c r="BN51" s="227">
        <f t="shared" si="91"/>
        <v>24.554233627795966</v>
      </c>
      <c r="BO51" s="227">
        <f t="shared" si="92"/>
        <v>22.861907306449599</v>
      </c>
      <c r="BP51" s="227">
        <f t="shared" si="93"/>
        <v>24.554233627795966</v>
      </c>
      <c r="BQ51" s="227">
        <f t="shared" si="94"/>
        <v>15.17</v>
      </c>
      <c r="BR51" s="227">
        <f t="shared" si="95"/>
        <v>21.871265454386986</v>
      </c>
      <c r="BS51" s="227">
        <f t="shared" si="96"/>
        <v>19.95</v>
      </c>
      <c r="BT51" s="227">
        <f t="shared" si="194"/>
        <v>22.955948573775498</v>
      </c>
      <c r="BU51" s="227">
        <f t="shared" si="195"/>
        <v>5.0486815425572606</v>
      </c>
      <c r="BV51" s="227">
        <f t="shared" si="97"/>
        <v>21.992911886572148</v>
      </c>
      <c r="BX51" s="231">
        <f t="shared" si="98"/>
        <v>0.33382716068535589</v>
      </c>
      <c r="BY51" s="231">
        <f t="shared" si="99"/>
        <v>0.30887881542527984</v>
      </c>
      <c r="BZ51" s="231">
        <f t="shared" si="100"/>
        <v>0.32371534912843253</v>
      </c>
      <c r="CA51" s="231">
        <f t="shared" si="101"/>
        <v>0.24</v>
      </c>
      <c r="CB51" s="231">
        <f t="shared" si="102"/>
        <v>0.36890888498966451</v>
      </c>
      <c r="CC51" s="231">
        <f t="shared" si="103"/>
        <v>0.31634587979411155</v>
      </c>
      <c r="CD51" s="231">
        <f t="shared" si="104"/>
        <v>0.48</v>
      </c>
      <c r="CE51" s="231">
        <f t="shared" si="105"/>
        <v>0.45199388067250112</v>
      </c>
      <c r="CF51" s="231">
        <f t="shared" si="106"/>
        <v>0.35295874633691815</v>
      </c>
      <c r="CG51" s="231">
        <f t="shared" si="107"/>
        <v>7.88001626337127E-2</v>
      </c>
      <c r="CH51" s="231">
        <f t="shared" si="196"/>
        <v>22.325601349029526</v>
      </c>
      <c r="CJ51" s="232">
        <f t="shared" si="108"/>
        <v>1.50500924496097</v>
      </c>
      <c r="CK51" s="232">
        <f t="shared" si="109"/>
        <v>1.50500924496097</v>
      </c>
      <c r="CL51" s="232">
        <f t="shared" si="110"/>
        <v>2.1</v>
      </c>
      <c r="CM51" s="232">
        <f t="shared" si="111"/>
        <v>1.8723851647281449</v>
      </c>
      <c r="CN51" s="232">
        <f t="shared" si="112"/>
        <v>1.8928545356432949</v>
      </c>
      <c r="CO51" s="232">
        <f t="shared" si="113"/>
        <v>1.5319733489333671</v>
      </c>
      <c r="CP51" s="232">
        <f t="shared" si="114"/>
        <v>1.5059572363654197</v>
      </c>
      <c r="CQ51" s="232">
        <f t="shared" si="115"/>
        <v>1.8811406255205199</v>
      </c>
      <c r="CR51" s="232">
        <f t="shared" si="116"/>
        <v>4.0178318903051453</v>
      </c>
      <c r="CS51" s="232">
        <f t="shared" si="117"/>
        <v>1.41</v>
      </c>
      <c r="CT51" s="232">
        <f t="shared" si="118"/>
        <v>1.407983928374994</v>
      </c>
      <c r="CU51" s="232">
        <f t="shared" si="119"/>
        <v>1.875467747253893</v>
      </c>
      <c r="CV51" s="232">
        <f t="shared" si="120"/>
        <v>0.74864474926712898</v>
      </c>
      <c r="CW51" s="232">
        <f t="shared" si="197"/>
        <v>39.91776186838262</v>
      </c>
      <c r="CY51" s="229">
        <f t="shared" si="198"/>
        <v>1.19</v>
      </c>
      <c r="CZ51" s="229">
        <f t="shared" si="199"/>
        <v>0.75417514460250601</v>
      </c>
      <c r="DA51" s="229">
        <f t="shared" si="200"/>
        <v>0.51901317439447836</v>
      </c>
      <c r="DB51" s="229">
        <f t="shared" si="201"/>
        <v>1.199019744664958</v>
      </c>
      <c r="DC51" s="229">
        <f t="shared" si="202"/>
        <v>0.57999999999999996</v>
      </c>
      <c r="DD51" s="229">
        <f t="shared" si="203"/>
        <v>0.56137371720830376</v>
      </c>
      <c r="DE51" s="229">
        <f t="shared" si="204"/>
        <v>0.8</v>
      </c>
      <c r="DF51" s="229">
        <f t="shared" si="205"/>
        <v>0.80051168298146369</v>
      </c>
      <c r="DG51" s="229">
        <f t="shared" si="206"/>
        <v>0.28801358193414706</v>
      </c>
      <c r="DH51" s="229">
        <f t="shared" si="207"/>
        <v>35.978685640346384</v>
      </c>
      <c r="DJ51" s="234">
        <f t="shared" si="121"/>
        <v>0.11869044306689851</v>
      </c>
      <c r="DK51" s="234">
        <f t="shared" si="122"/>
        <v>0.16039249063094393</v>
      </c>
      <c r="DL51" s="234">
        <f t="shared" si="123"/>
        <v>0.11591738346090497</v>
      </c>
      <c r="DM51" s="234">
        <f t="shared" si="208"/>
        <v>0.13166677238624913</v>
      </c>
      <c r="DN51" s="234">
        <f t="shared" si="209"/>
        <v>2.4915810871809749E-2</v>
      </c>
      <c r="DO51" s="234">
        <f t="shared" si="210"/>
        <v>18.92338546791315</v>
      </c>
      <c r="DQ51" s="229">
        <f t="shared" si="124"/>
        <v>3.49</v>
      </c>
      <c r="DR51" s="229">
        <f t="shared" si="125"/>
        <v>3.8387238074018799</v>
      </c>
      <c r="DS51" s="229">
        <f t="shared" si="126"/>
        <v>3.0064869645504202</v>
      </c>
      <c r="DT51" s="229">
        <f t="shared" si="127"/>
        <v>2.6713650243187934</v>
      </c>
      <c r="DU51" s="229">
        <f t="shared" si="128"/>
        <v>3.8387238074018799</v>
      </c>
      <c r="DV51" s="229">
        <f t="shared" si="129"/>
        <v>1.97</v>
      </c>
      <c r="DW51" s="229">
        <f t="shared" si="130"/>
        <v>1.8001</v>
      </c>
      <c r="DX51" s="229">
        <f t="shared" si="131"/>
        <v>3.4810763801974747</v>
      </c>
      <c r="DY51" s="229">
        <f t="shared" si="211"/>
        <v>3.012059497983806</v>
      </c>
      <c r="DZ51" s="229">
        <f t="shared" si="212"/>
        <v>0.80053458208574668</v>
      </c>
      <c r="EA51" s="229">
        <f t="shared" si="213"/>
        <v>26.577648370545258</v>
      </c>
      <c r="EC51" s="235">
        <f t="shared" si="132"/>
        <v>0.21438917704603713</v>
      </c>
      <c r="ED51" s="235">
        <f t="shared" si="133"/>
        <v>0.15</v>
      </c>
      <c r="EE51" s="235">
        <f t="shared" si="134"/>
        <v>0.17643173969403833</v>
      </c>
      <c r="EF51" s="235">
        <f t="shared" si="135"/>
        <v>0.14573811060172451</v>
      </c>
      <c r="EG51" s="235">
        <f t="shared" si="136"/>
        <v>0.17163975683544999</v>
      </c>
      <c r="EH51" s="235">
        <f t="shared" si="137"/>
        <v>3.156818219649251E-2</v>
      </c>
      <c r="EI51" s="235">
        <f t="shared" si="214"/>
        <v>18.392115427404583</v>
      </c>
      <c r="EK51" s="236">
        <f t="shared" si="138"/>
        <v>20.705381659388649</v>
      </c>
      <c r="EL51" s="236">
        <f t="shared" si="139"/>
        <v>31.257313728064943</v>
      </c>
      <c r="EM51" s="236">
        <f t="shared" si="140"/>
        <v>31.927797475040801</v>
      </c>
      <c r="EN51" s="236">
        <f t="shared" si="141"/>
        <v>14.4</v>
      </c>
      <c r="EO51" s="236">
        <f t="shared" si="142"/>
        <v>30.30383462772522</v>
      </c>
      <c r="EP51" s="236">
        <f t="shared" si="143"/>
        <v>31.927797475040801</v>
      </c>
      <c r="EQ51" s="236">
        <f t="shared" si="144"/>
        <v>33.278819596846972</v>
      </c>
      <c r="ER51" s="236">
        <f t="shared" si="145"/>
        <v>27.685849223158197</v>
      </c>
      <c r="ES51" s="236">
        <f t="shared" si="146"/>
        <v>7.2124832850404443</v>
      </c>
      <c r="ET51" s="236">
        <f t="shared" si="215"/>
        <v>26.051154244557061</v>
      </c>
      <c r="EV51" s="238">
        <f t="shared" si="147"/>
        <v>1.6039249063094396E-2</v>
      </c>
      <c r="EW51" s="238">
        <f t="shared" si="148"/>
        <v>1.6039249063094396E-2</v>
      </c>
      <c r="EX51" s="238" t="e">
        <f t="shared" si="149"/>
        <v>#DIV/0!</v>
      </c>
      <c r="EY51" s="238" t="e">
        <f t="shared" si="216"/>
        <v>#DIV/0!</v>
      </c>
      <c r="FA51" s="240">
        <f t="shared" si="150"/>
        <v>0.49721672095592617</v>
      </c>
      <c r="FB51" s="240">
        <f t="shared" si="151"/>
        <v>0.66803472347788151</v>
      </c>
      <c r="FC51" s="240">
        <f t="shared" si="152"/>
        <v>0.58262572221690379</v>
      </c>
      <c r="FD51" s="240">
        <f t="shared" si="153"/>
        <v>0.12078656793201567</v>
      </c>
      <c r="FE51" s="240">
        <f t="shared" si="217"/>
        <v>20.731416984547145</v>
      </c>
      <c r="FG51" s="236">
        <f t="shared" si="154"/>
        <v>1.2</v>
      </c>
      <c r="FH51" s="236">
        <f t="shared" si="155"/>
        <v>1.386368590455509</v>
      </c>
      <c r="FI51" s="236">
        <f t="shared" si="156"/>
        <v>1.3232380477052876</v>
      </c>
      <c r="FJ51" s="236">
        <f t="shared" si="157"/>
        <v>0.92</v>
      </c>
      <c r="FK51" s="236">
        <f t="shared" si="158"/>
        <v>1.2831399250475515</v>
      </c>
      <c r="FL51" s="236">
        <f t="shared" si="159"/>
        <v>0.9</v>
      </c>
      <c r="FM51" s="236">
        <f t="shared" si="160"/>
        <v>1.1687910938680581</v>
      </c>
      <c r="FN51" s="236">
        <f t="shared" si="161"/>
        <v>0.20947035117924612</v>
      </c>
      <c r="FO51" s="236">
        <f t="shared" si="218"/>
        <v>17.921966746513615</v>
      </c>
      <c r="FQ51" s="227">
        <f t="shared" si="162"/>
        <v>0.32</v>
      </c>
      <c r="FR51" s="227">
        <f t="shared" si="163"/>
        <v>0.34636820936024698</v>
      </c>
      <c r="FS51" s="227">
        <f t="shared" si="164"/>
        <v>0.34636820936024698</v>
      </c>
      <c r="FT51" s="227">
        <f t="shared" si="165"/>
        <v>0.24</v>
      </c>
      <c r="FU51" s="227">
        <f t="shared" si="166"/>
        <v>0.33417775422957169</v>
      </c>
      <c r="FV51" s="227">
        <f t="shared" si="219"/>
        <v>0.3173828345900131</v>
      </c>
      <c r="FW51" s="227">
        <f t="shared" si="220"/>
        <v>4.4601922242235428E-2</v>
      </c>
      <c r="FX51" s="227">
        <f t="shared" si="221"/>
        <v>14.053035445300951</v>
      </c>
      <c r="FZ51" s="230">
        <f t="shared" si="167"/>
        <v>1.6841211516249115</v>
      </c>
      <c r="GA51" s="230">
        <f t="shared" si="168"/>
        <v>2.4700000000000002</v>
      </c>
      <c r="GB51" s="230">
        <f t="shared" si="169"/>
        <v>3.6046402260137214</v>
      </c>
      <c r="GC51" s="230">
        <f t="shared" si="170"/>
        <v>2.586253792546211</v>
      </c>
      <c r="GD51" s="230">
        <f t="shared" si="171"/>
        <v>0.96552296036078078</v>
      </c>
      <c r="GE51" s="230">
        <f t="shared" si="222"/>
        <v>37.332877505815347</v>
      </c>
      <c r="GG51" s="231">
        <f t="shared" si="172"/>
        <v>0.11227474344166076</v>
      </c>
      <c r="GH51" s="231">
        <f t="shared" si="173"/>
        <v>0.05</v>
      </c>
      <c r="GI51" s="231">
        <f t="shared" si="174"/>
        <v>0.05</v>
      </c>
      <c r="GJ51" s="231">
        <f t="shared" si="175"/>
        <v>0.12446457272961249</v>
      </c>
      <c r="GK51" s="245">
        <f t="shared" si="186"/>
        <v>7.4821524243204166E-2</v>
      </c>
      <c r="GL51" s="231">
        <f t="shared" si="187"/>
        <v>4.2992141110532234E-2</v>
      </c>
      <c r="GM51" s="231">
        <f t="shared" si="223"/>
        <v>57.459590065003376</v>
      </c>
      <c r="GO51" s="246">
        <f t="shared" si="176"/>
        <v>0.18</v>
      </c>
      <c r="GP51" s="246">
        <f t="shared" si="177"/>
        <v>0.18445136422558553</v>
      </c>
      <c r="GQ51" s="247">
        <f t="shared" si="188"/>
        <v>0.18222568211279278</v>
      </c>
      <c r="GR51" s="246">
        <f t="shared" si="189"/>
        <v>3.1475898294427368E-3</v>
      </c>
      <c r="GS51" s="246">
        <f t="shared" si="224"/>
        <v>1.727303085354601</v>
      </c>
      <c r="GU51" s="249">
        <f t="shared" si="178"/>
        <v>2.271959629787321E-2</v>
      </c>
      <c r="GV51" s="249">
        <f t="shared" si="179"/>
        <v>2.271959629787321E-2</v>
      </c>
      <c r="GW51" s="249" t="e">
        <f t="shared" si="180"/>
        <v>#DIV/0!</v>
      </c>
      <c r="GX51" s="249" t="e">
        <f t="shared" si="225"/>
        <v>#DIV/0!</v>
      </c>
      <c r="GZ51" s="240">
        <f t="shared" si="181"/>
        <v>2.4058873594641594E-2</v>
      </c>
      <c r="HA51" s="240">
        <f t="shared" si="182"/>
        <v>2.4058873594641594E-2</v>
      </c>
      <c r="HB51" s="240" t="e">
        <f t="shared" si="183"/>
        <v>#DIV/0!</v>
      </c>
      <c r="HC51" s="240" t="e">
        <f t="shared" si="226"/>
        <v>#DIV/0!</v>
      </c>
      <c r="HE51" s="234">
        <f t="shared" si="184"/>
        <v>9.5003331925411633E-2</v>
      </c>
      <c r="HF51" s="234">
        <f t="shared" si="185"/>
        <v>9.5003331925411633E-2</v>
      </c>
      <c r="HG51" s="251">
        <f t="shared" si="190"/>
        <v>9.5003331925411633E-2</v>
      </c>
      <c r="HH51" s="234">
        <f t="shared" si="191"/>
        <v>0</v>
      </c>
      <c r="HI51" s="234">
        <f t="shared" si="227"/>
        <v>0</v>
      </c>
    </row>
    <row r="52" spans="2:217" ht="15.6" x14ac:dyDescent="0.25">
      <c r="B52">
        <v>48</v>
      </c>
      <c r="C52" s="124">
        <f t="shared" si="38"/>
        <v>80.233848479262633</v>
      </c>
      <c r="D52" s="124">
        <f t="shared" si="39"/>
        <v>173.76195707893356</v>
      </c>
      <c r="E52" s="29">
        <f t="shared" si="40"/>
        <v>2.1677157776380485</v>
      </c>
      <c r="F52" s="29">
        <f t="shared" si="41"/>
        <v>1.9818597690942283</v>
      </c>
      <c r="G52" s="29">
        <f t="shared" si="42"/>
        <v>1.9484329750342433</v>
      </c>
      <c r="H52" s="29">
        <f t="shared" si="43"/>
        <v>1.9810164245116351</v>
      </c>
      <c r="I52" s="29">
        <f t="shared" si="44"/>
        <v>2.0065160180997714</v>
      </c>
      <c r="J52" s="29">
        <f t="shared" si="45"/>
        <v>1.9810164245116348</v>
      </c>
      <c r="K52" s="29">
        <f t="shared" si="46"/>
        <v>1.967908544039366</v>
      </c>
      <c r="L52" s="125">
        <f t="shared" si="0"/>
        <v>2.0049237047041326</v>
      </c>
      <c r="M52" s="126">
        <f t="shared" si="1"/>
        <v>7.3869457319392498E-2</v>
      </c>
      <c r="N52" s="126">
        <f t="shared" si="47"/>
        <v>3.6844024112275857</v>
      </c>
      <c r="P52" s="138">
        <f t="shared" si="48"/>
        <v>421.03397798786784</v>
      </c>
      <c r="Q52" s="138">
        <f t="shared" si="49"/>
        <v>325.79239999999999</v>
      </c>
      <c r="R52" s="138">
        <f t="shared" si="50"/>
        <v>421.03397798786784</v>
      </c>
      <c r="S52" s="138">
        <f t="shared" si="51"/>
        <v>385.49007241193169</v>
      </c>
      <c r="T52" s="138">
        <f t="shared" si="52"/>
        <v>463.16343448025339</v>
      </c>
      <c r="U52" s="138">
        <f t="shared" si="53"/>
        <v>421.03397798786784</v>
      </c>
      <c r="V52" s="138">
        <f t="shared" si="54"/>
        <v>282.37151999999998</v>
      </c>
      <c r="W52" s="138">
        <f t="shared" si="55"/>
        <v>388.55990869368406</v>
      </c>
      <c r="X52" s="138">
        <f t="shared" si="56"/>
        <v>63.185625376250563</v>
      </c>
      <c r="Y52" s="138">
        <f t="shared" si="57"/>
        <v>16.261488630846394</v>
      </c>
      <c r="AA52" s="227">
        <f t="shared" si="228"/>
        <v>0.4463320368</v>
      </c>
      <c r="AB52" s="227">
        <f t="shared" si="229"/>
        <v>0.40728647686832736</v>
      </c>
      <c r="AC52" s="227">
        <f t="shared" si="230"/>
        <v>0.47</v>
      </c>
      <c r="AD52" s="227">
        <f t="shared" si="231"/>
        <v>0.4463320368</v>
      </c>
      <c r="AE52" s="227">
        <f t="shared" si="62"/>
        <v>0.44248763761708187</v>
      </c>
      <c r="AF52" s="227">
        <f t="shared" si="63"/>
        <v>2.5984678896764691E-2</v>
      </c>
      <c r="AG52" s="227">
        <f t="shared" si="64"/>
        <v>5.872407879392826</v>
      </c>
      <c r="AI52" s="228">
        <f t="shared" si="65"/>
        <v>4.4863651993321065</v>
      </c>
      <c r="AJ52" s="228">
        <f t="shared" si="66"/>
        <v>4.4863651993321065</v>
      </c>
      <c r="AK52" s="228">
        <f t="shared" si="67"/>
        <v>4.4863651993321065</v>
      </c>
      <c r="AL52" s="228">
        <f t="shared" si="68"/>
        <v>7.1947234317282103</v>
      </c>
      <c r="AM52" s="228">
        <f t="shared" si="69"/>
        <v>4.28</v>
      </c>
      <c r="AN52" s="228">
        <f t="shared" si="70"/>
        <v>5.2152001511520716</v>
      </c>
      <c r="AO52" s="228">
        <f t="shared" si="71"/>
        <v>4.5972613721820688</v>
      </c>
      <c r="AP52" s="228">
        <f t="shared" si="72"/>
        <v>4.9637543647226678</v>
      </c>
      <c r="AQ52" s="228">
        <f t="shared" si="73"/>
        <v>1.0268062420278536</v>
      </c>
      <c r="AR52" s="228">
        <f t="shared" si="74"/>
        <v>20.686080869056518</v>
      </c>
      <c r="AT52" s="229">
        <f t="shared" si="75"/>
        <v>1.4161976785086177</v>
      </c>
      <c r="AU52" s="229">
        <f t="shared" si="76"/>
        <v>1.47</v>
      </c>
      <c r="AV52" s="229">
        <f t="shared" si="77"/>
        <v>1.3269622800883025</v>
      </c>
      <c r="AW52" s="229">
        <f t="shared" si="78"/>
        <v>1.4161976785086177</v>
      </c>
      <c r="AX52" s="229">
        <f t="shared" si="79"/>
        <v>0.89530182117316026</v>
      </c>
      <c r="AY52" s="229">
        <f t="shared" si="80"/>
        <v>1.3</v>
      </c>
      <c r="AZ52" s="229">
        <f t="shared" si="81"/>
        <v>1.299999999998918</v>
      </c>
      <c r="BA52" s="229">
        <f t="shared" si="82"/>
        <v>1.2347462518467516</v>
      </c>
      <c r="BB52" s="229">
        <f t="shared" si="83"/>
        <v>1.2949257137655459</v>
      </c>
      <c r="BC52" s="229">
        <f t="shared" si="84"/>
        <v>0.17907039560568624</v>
      </c>
      <c r="BD52" s="229">
        <f t="shared" si="85"/>
        <v>13.82862304007873</v>
      </c>
      <c r="BF52" s="230">
        <f t="shared" si="86"/>
        <v>11.73</v>
      </c>
      <c r="BG52" s="230">
        <f t="shared" si="87"/>
        <v>6.27</v>
      </c>
      <c r="BH52" s="230">
        <f t="shared" si="88"/>
        <v>6.6146461538461541</v>
      </c>
      <c r="BI52" s="230">
        <f t="shared" si="192"/>
        <v>8.2048820512820502</v>
      </c>
      <c r="BJ52" s="230">
        <f t="shared" si="193"/>
        <v>3.0577013682046066</v>
      </c>
      <c r="BK52" s="230">
        <f t="shared" si="89"/>
        <v>37.266853430596562</v>
      </c>
      <c r="BM52" s="227">
        <f t="shared" si="90"/>
        <v>31.73</v>
      </c>
      <c r="BN52" s="227">
        <f t="shared" si="91"/>
        <v>24.562988729458141</v>
      </c>
      <c r="BO52" s="227">
        <f t="shared" si="92"/>
        <v>22.865357368361099</v>
      </c>
      <c r="BP52" s="227">
        <f t="shared" si="93"/>
        <v>24.562988729458141</v>
      </c>
      <c r="BQ52" s="227">
        <f t="shared" si="94"/>
        <v>15.17</v>
      </c>
      <c r="BR52" s="227">
        <f t="shared" si="95"/>
        <v>21.743974317320106</v>
      </c>
      <c r="BS52" s="227">
        <f t="shared" si="96"/>
        <v>19.95</v>
      </c>
      <c r="BT52" s="227">
        <f t="shared" si="194"/>
        <v>22.940758449228213</v>
      </c>
      <c r="BU52" s="227">
        <f t="shared" si="195"/>
        <v>5.0543929698376964</v>
      </c>
      <c r="BV52" s="227">
        <f t="shared" si="97"/>
        <v>22.032370817311573</v>
      </c>
      <c r="BX52" s="231">
        <f t="shared" si="98"/>
        <v>0.33394879244695153</v>
      </c>
      <c r="BY52" s="231">
        <f t="shared" si="99"/>
        <v>0.30861515893493074</v>
      </c>
      <c r="BZ52" s="231">
        <f t="shared" si="100"/>
        <v>0.32382647573299556</v>
      </c>
      <c r="CA52" s="231">
        <f t="shared" si="101"/>
        <v>0.24</v>
      </c>
      <c r="CB52" s="231">
        <f t="shared" si="102"/>
        <v>0.36908064111855493</v>
      </c>
      <c r="CC52" s="231">
        <f t="shared" si="103"/>
        <v>0.31646069535950305</v>
      </c>
      <c r="CD52" s="231">
        <f t="shared" si="104"/>
        <v>0.48</v>
      </c>
      <c r="CE52" s="231">
        <f t="shared" si="105"/>
        <v>0.4520940061538557</v>
      </c>
      <c r="CF52" s="231">
        <f t="shared" si="106"/>
        <v>0.35300322121834893</v>
      </c>
      <c r="CG52" s="231">
        <f t="shared" si="107"/>
        <v>7.8826560895934719E-2</v>
      </c>
      <c r="CH52" s="231">
        <f t="shared" si="196"/>
        <v>22.330266739174263</v>
      </c>
      <c r="CJ52" s="232">
        <f t="shared" si="108"/>
        <v>1.5055447215072706</v>
      </c>
      <c r="CK52" s="232">
        <f t="shared" si="109"/>
        <v>1.5055447215072706</v>
      </c>
      <c r="CL52" s="232">
        <f t="shared" si="110"/>
        <v>2.1</v>
      </c>
      <c r="CM52" s="232">
        <f t="shared" si="111"/>
        <v>1.8728250118894694</v>
      </c>
      <c r="CN52" s="232">
        <f t="shared" si="112"/>
        <v>1.8907963066311508</v>
      </c>
      <c r="CO52" s="232">
        <f t="shared" si="113"/>
        <v>1.5325336142875379</v>
      </c>
      <c r="CP52" s="232">
        <f t="shared" si="114"/>
        <v>1.5064930502034444</v>
      </c>
      <c r="CQ52" s="232">
        <f t="shared" si="115"/>
        <v>1.8819794573503767</v>
      </c>
      <c r="CR52" s="232">
        <f t="shared" si="116"/>
        <v>4.0197158088110578</v>
      </c>
      <c r="CS52" s="232">
        <f t="shared" si="117"/>
        <v>1.41</v>
      </c>
      <c r="CT52" s="232">
        <f t="shared" si="118"/>
        <v>1.4083779920937676</v>
      </c>
      <c r="CU52" s="232">
        <f t="shared" si="119"/>
        <v>1.8758009712983041</v>
      </c>
      <c r="CV52" s="232">
        <f t="shared" si="120"/>
        <v>0.74905025942364223</v>
      </c>
      <c r="CW52" s="232">
        <f t="shared" si="197"/>
        <v>39.932288706791724</v>
      </c>
      <c r="CY52" s="229">
        <f t="shared" si="198"/>
        <v>1.19</v>
      </c>
      <c r="CZ52" s="229">
        <f t="shared" si="199"/>
        <v>0.75621607544214542</v>
      </c>
      <c r="DA52" s="229">
        <f t="shared" si="200"/>
        <v>0.51911648929641074</v>
      </c>
      <c r="DB52" s="229">
        <f t="shared" si="201"/>
        <v>1.1994446766126912</v>
      </c>
      <c r="DC52" s="229">
        <f t="shared" si="202"/>
        <v>0.57999999999999996</v>
      </c>
      <c r="DD52" s="229">
        <f t="shared" si="203"/>
        <v>0.56163693935483849</v>
      </c>
      <c r="DE52" s="229">
        <f t="shared" si="204"/>
        <v>0.8</v>
      </c>
      <c r="DF52" s="229">
        <f t="shared" si="205"/>
        <v>0.80091631152944076</v>
      </c>
      <c r="DG52" s="229">
        <f t="shared" si="206"/>
        <v>0.28800454267293402</v>
      </c>
      <c r="DH52" s="229">
        <f t="shared" si="207"/>
        <v>35.959380340619681</v>
      </c>
      <c r="DJ52" s="234">
        <f t="shared" si="121"/>
        <v>0.11874609574930869</v>
      </c>
      <c r="DK52" s="234">
        <f t="shared" si="122"/>
        <v>0.16046769695852528</v>
      </c>
      <c r="DL52" s="234">
        <f t="shared" si="123"/>
        <v>0.11596207477195386</v>
      </c>
      <c r="DM52" s="234">
        <f t="shared" si="208"/>
        <v>0.13172528915992929</v>
      </c>
      <c r="DN52" s="234">
        <f t="shared" si="209"/>
        <v>2.4930547481878163E-2</v>
      </c>
      <c r="DO52" s="234">
        <f t="shared" si="210"/>
        <v>18.926166449032941</v>
      </c>
      <c r="DQ52" s="229">
        <f t="shared" si="124"/>
        <v>3.49</v>
      </c>
      <c r="DR52" s="229">
        <f t="shared" si="125"/>
        <v>3.8398735271669899</v>
      </c>
      <c r="DS52" s="229">
        <f t="shared" si="126"/>
        <v>3.0073855570561987</v>
      </c>
      <c r="DT52" s="229">
        <f t="shared" si="127"/>
        <v>2.6723626551574777</v>
      </c>
      <c r="DU52" s="229">
        <f t="shared" si="128"/>
        <v>3.8398735271669899</v>
      </c>
      <c r="DV52" s="229">
        <f t="shared" si="129"/>
        <v>1.97</v>
      </c>
      <c r="DW52" s="229">
        <f t="shared" si="130"/>
        <v>1.8384</v>
      </c>
      <c r="DX52" s="229">
        <f t="shared" si="131"/>
        <v>3.4844980830349845</v>
      </c>
      <c r="DY52" s="229">
        <f t="shared" si="211"/>
        <v>3.01779916869783</v>
      </c>
      <c r="DZ52" s="229">
        <f t="shared" si="212"/>
        <v>0.79288751937587809</v>
      </c>
      <c r="EA52" s="229">
        <f t="shared" si="213"/>
        <v>26.273700635884474</v>
      </c>
      <c r="EC52" s="235">
        <f t="shared" si="132"/>
        <v>0.21447289689451091</v>
      </c>
      <c r="ED52" s="235">
        <f t="shared" si="133"/>
        <v>0.15</v>
      </c>
      <c r="EE52" s="235">
        <f t="shared" si="134"/>
        <v>0.17651446665437781</v>
      </c>
      <c r="EF52" s="235">
        <f t="shared" si="135"/>
        <v>0.14579047660660627</v>
      </c>
      <c r="EG52" s="235">
        <f t="shared" si="136"/>
        <v>0.17169446003887373</v>
      </c>
      <c r="EH52" s="235">
        <f t="shared" si="137"/>
        <v>3.1595849292919927E-2</v>
      </c>
      <c r="EI52" s="235">
        <f t="shared" si="214"/>
        <v>18.402369701250837</v>
      </c>
      <c r="EK52" s="236">
        <f t="shared" si="138"/>
        <v>20.705381659388649</v>
      </c>
      <c r="EL52" s="236">
        <f t="shared" si="139"/>
        <v>31.318981749834535</v>
      </c>
      <c r="EM52" s="236">
        <f t="shared" si="140"/>
        <v>31.990788304223223</v>
      </c>
      <c r="EN52" s="236">
        <f t="shared" si="141"/>
        <v>14.4</v>
      </c>
      <c r="EO52" s="236">
        <f t="shared" si="142"/>
        <v>30.41522772586827</v>
      </c>
      <c r="EP52" s="236">
        <f t="shared" si="143"/>
        <v>31.990788304223223</v>
      </c>
      <c r="EQ52" s="236">
        <f t="shared" si="144"/>
        <v>33.310761990011891</v>
      </c>
      <c r="ER52" s="236">
        <f t="shared" si="145"/>
        <v>27.733132819078545</v>
      </c>
      <c r="ES52" s="236">
        <f t="shared" si="146"/>
        <v>7.240843302702558</v>
      </c>
      <c r="ET52" s="236">
        <f t="shared" si="215"/>
        <v>26.108998755890074</v>
      </c>
      <c r="EV52" s="238">
        <f t="shared" si="147"/>
        <v>1.6046769695852527E-2</v>
      </c>
      <c r="EW52" s="238">
        <f t="shared" si="148"/>
        <v>1.6046769695852527E-2</v>
      </c>
      <c r="EX52" s="238" t="e">
        <f t="shared" si="149"/>
        <v>#DIV/0!</v>
      </c>
      <c r="EY52" s="238" t="e">
        <f t="shared" si="216"/>
        <v>#DIV/0!</v>
      </c>
      <c r="FA52" s="240">
        <f t="shared" si="150"/>
        <v>0.49744986057142832</v>
      </c>
      <c r="FB52" s="240">
        <f t="shared" si="151"/>
        <v>0.66834795783225776</v>
      </c>
      <c r="FC52" s="240">
        <f t="shared" si="152"/>
        <v>0.58289890920184306</v>
      </c>
      <c r="FD52" s="240">
        <f t="shared" si="153"/>
        <v>0.12084320346501046</v>
      </c>
      <c r="FE52" s="240">
        <f t="shared" si="217"/>
        <v>20.731416984547064</v>
      </c>
      <c r="FG52" s="236">
        <f t="shared" si="154"/>
        <v>1.2</v>
      </c>
      <c r="FH52" s="236">
        <f t="shared" si="155"/>
        <v>1.385894442606366</v>
      </c>
      <c r="FI52" s="236">
        <f t="shared" si="156"/>
        <v>1.3238584999078336</v>
      </c>
      <c r="FJ52" s="236">
        <f t="shared" si="157"/>
        <v>0.92</v>
      </c>
      <c r="FK52" s="236">
        <f t="shared" si="158"/>
        <v>1.2837415756682022</v>
      </c>
      <c r="FL52" s="236">
        <f t="shared" si="159"/>
        <v>0.9</v>
      </c>
      <c r="FM52" s="236">
        <f t="shared" si="160"/>
        <v>1.1689157530304002</v>
      </c>
      <c r="FN52" s="236">
        <f t="shared" si="161"/>
        <v>0.20952944462711814</v>
      </c>
      <c r="FO52" s="236">
        <f t="shared" si="218"/>
        <v>17.92511086311529</v>
      </c>
      <c r="FQ52" s="227">
        <f t="shared" si="162"/>
        <v>0.32</v>
      </c>
      <c r="FR52" s="227">
        <f t="shared" si="163"/>
        <v>0.34649912247126996</v>
      </c>
      <c r="FS52" s="227">
        <f t="shared" si="164"/>
        <v>0.34649912247126996</v>
      </c>
      <c r="FT52" s="227">
        <f t="shared" si="165"/>
        <v>0.24</v>
      </c>
      <c r="FU52" s="227">
        <f t="shared" si="166"/>
        <v>0.33433444661308737</v>
      </c>
      <c r="FV52" s="227">
        <f t="shared" si="219"/>
        <v>0.31746653831112542</v>
      </c>
      <c r="FW52" s="227">
        <f t="shared" si="220"/>
        <v>4.4659240932177921E-2</v>
      </c>
      <c r="FX52" s="227">
        <f t="shared" si="221"/>
        <v>14.067385233655935</v>
      </c>
      <c r="FZ52" s="230">
        <f t="shared" si="167"/>
        <v>1.6849108180645154</v>
      </c>
      <c r="GA52" s="230">
        <f t="shared" si="168"/>
        <v>2.4700000000000002</v>
      </c>
      <c r="GB52" s="230">
        <f t="shared" si="169"/>
        <v>3.6068635459964686</v>
      </c>
      <c r="GC52" s="230">
        <f t="shared" si="170"/>
        <v>2.5872581213536616</v>
      </c>
      <c r="GD52" s="230">
        <f t="shared" si="171"/>
        <v>0.96632689726034748</v>
      </c>
      <c r="GE52" s="230">
        <f t="shared" si="222"/>
        <v>37.349458458932666</v>
      </c>
      <c r="GG52" s="231">
        <f t="shared" si="172"/>
        <v>0.11232738787096769</v>
      </c>
      <c r="GH52" s="231">
        <f t="shared" si="173"/>
        <v>0.05</v>
      </c>
      <c r="GI52" s="231">
        <f t="shared" si="174"/>
        <v>0.05</v>
      </c>
      <c r="GJ52" s="231">
        <f t="shared" si="175"/>
        <v>0.12452293283981561</v>
      </c>
      <c r="GK52" s="245">
        <f t="shared" si="186"/>
        <v>7.4840977613271867E-2</v>
      </c>
      <c r="GL52" s="231">
        <f t="shared" si="187"/>
        <v>4.3025835335867943E-2</v>
      </c>
      <c r="GM52" s="231">
        <f t="shared" si="223"/>
        <v>57.489675720427783</v>
      </c>
      <c r="GO52" s="246">
        <f t="shared" si="176"/>
        <v>0.18</v>
      </c>
      <c r="GP52" s="246">
        <f t="shared" si="177"/>
        <v>0.18453785150230406</v>
      </c>
      <c r="GQ52" s="247">
        <f t="shared" si="188"/>
        <v>0.18226892575115203</v>
      </c>
      <c r="GR52" s="246">
        <f t="shared" si="189"/>
        <v>3.2087455692967693E-3</v>
      </c>
      <c r="GS52" s="246">
        <f t="shared" si="224"/>
        <v>1.7604457567701928</v>
      </c>
      <c r="GU52" s="249">
        <f t="shared" si="178"/>
        <v>2.2730249274175104E-2</v>
      </c>
      <c r="GV52" s="249">
        <f t="shared" si="179"/>
        <v>2.2730249274175104E-2</v>
      </c>
      <c r="GW52" s="249" t="e">
        <f t="shared" si="180"/>
        <v>#DIV/0!</v>
      </c>
      <c r="GX52" s="249" t="e">
        <f t="shared" si="225"/>
        <v>#DIV/0!</v>
      </c>
      <c r="GZ52" s="240">
        <f t="shared" si="181"/>
        <v>2.4070154543778793E-2</v>
      </c>
      <c r="HA52" s="240">
        <f t="shared" si="182"/>
        <v>2.4070154543778793E-2</v>
      </c>
      <c r="HB52" s="240" t="e">
        <f t="shared" si="183"/>
        <v>#DIV/0!</v>
      </c>
      <c r="HC52" s="240" t="e">
        <f t="shared" si="226"/>
        <v>#DIV/0!</v>
      </c>
      <c r="HE52" s="234">
        <f t="shared" si="184"/>
        <v>9.5048079690322515E-2</v>
      </c>
      <c r="HF52" s="234">
        <f t="shared" si="185"/>
        <v>9.5048079690322515E-2</v>
      </c>
      <c r="HG52" s="251">
        <f t="shared" si="190"/>
        <v>9.5048079690322515E-2</v>
      </c>
      <c r="HH52" s="234">
        <f t="shared" si="191"/>
        <v>0</v>
      </c>
      <c r="HI52" s="234">
        <f t="shared" si="227"/>
        <v>0</v>
      </c>
    </row>
    <row r="53" spans="2:217" ht="15.6" x14ac:dyDescent="0.25">
      <c r="B53">
        <v>49</v>
      </c>
      <c r="C53" s="124">
        <f t="shared" si="38"/>
        <v>80.262246971556124</v>
      </c>
      <c r="D53" s="124">
        <f t="shared" si="39"/>
        <v>173.82546578192631</v>
      </c>
      <c r="E53" s="29">
        <f t="shared" si="40"/>
        <v>2.1684500046466599</v>
      </c>
      <c r="F53" s="29">
        <f t="shared" si="41"/>
        <v>1.9825266976123177</v>
      </c>
      <c r="G53" s="29">
        <f t="shared" si="42"/>
        <v>1.9492423942660875</v>
      </c>
      <c r="H53" s="29">
        <f t="shared" si="43"/>
        <v>1.9816830692303553</v>
      </c>
      <c r="I53" s="29">
        <f t="shared" si="44"/>
        <v>2.0071933284581371</v>
      </c>
      <c r="J53" s="29">
        <f t="shared" si="45"/>
        <v>1.9816830692303551</v>
      </c>
      <c r="K53" s="29">
        <f t="shared" si="46"/>
        <v>1.9686164391757439</v>
      </c>
      <c r="L53" s="125">
        <f t="shared" si="0"/>
        <v>2.0056278575170938</v>
      </c>
      <c r="M53" s="126">
        <f t="shared" si="1"/>
        <v>7.3872680121451567E-2</v>
      </c>
      <c r="N53" s="126">
        <f t="shared" si="47"/>
        <v>3.6832695479660766</v>
      </c>
      <c r="P53" s="138">
        <f t="shared" si="48"/>
        <v>421.18185007858972</v>
      </c>
      <c r="Q53" s="138">
        <f t="shared" si="49"/>
        <v>325.79239999999999</v>
      </c>
      <c r="R53" s="138">
        <f t="shared" si="50"/>
        <v>421.18185007858972</v>
      </c>
      <c r="S53" s="138">
        <f t="shared" si="51"/>
        <v>384.07517670933851</v>
      </c>
      <c r="T53" s="138">
        <f t="shared" si="52"/>
        <v>463.29154480027273</v>
      </c>
      <c r="U53" s="138">
        <f t="shared" si="53"/>
        <v>421.18185007858972</v>
      </c>
      <c r="V53" s="138">
        <f t="shared" si="54"/>
        <v>280.43237999999997</v>
      </c>
      <c r="W53" s="138">
        <f t="shared" si="55"/>
        <v>388.1624359636258</v>
      </c>
      <c r="X53" s="138">
        <f t="shared" si="56"/>
        <v>63.806635172627374</v>
      </c>
      <c r="Y53" s="138">
        <f t="shared" si="57"/>
        <v>16.438127253149919</v>
      </c>
      <c r="AA53" s="227">
        <f t="shared" si="228"/>
        <v>0.44572691734999997</v>
      </c>
      <c r="AB53" s="227">
        <f t="shared" si="229"/>
        <v>0.40746503496503494</v>
      </c>
      <c r="AC53" s="227">
        <f t="shared" si="230"/>
        <v>0.47</v>
      </c>
      <c r="AD53" s="227">
        <f t="shared" si="231"/>
        <v>0.44572691734999997</v>
      </c>
      <c r="AE53" s="227">
        <f t="shared" si="62"/>
        <v>0.44222971741625872</v>
      </c>
      <c r="AF53" s="227">
        <f t="shared" si="63"/>
        <v>2.5847195563338449E-2</v>
      </c>
      <c r="AG53" s="227">
        <f t="shared" si="64"/>
        <v>5.8447441556735527</v>
      </c>
      <c r="AI53" s="228">
        <f t="shared" si="65"/>
        <v>4.4882689865165455</v>
      </c>
      <c r="AJ53" s="228">
        <f t="shared" si="66"/>
        <v>4.4882689865165455</v>
      </c>
      <c r="AK53" s="228">
        <f t="shared" si="67"/>
        <v>4.4882689865165455</v>
      </c>
      <c r="AL53" s="228">
        <f t="shared" si="68"/>
        <v>7.1972691815992507</v>
      </c>
      <c r="AM53" s="228">
        <f t="shared" si="69"/>
        <v>4.28</v>
      </c>
      <c r="AN53" s="228">
        <f t="shared" si="70"/>
        <v>5.2170460531511482</v>
      </c>
      <c r="AO53" s="228">
        <f t="shared" si="71"/>
        <v>4.5990283971655375</v>
      </c>
      <c r="AP53" s="228">
        <f t="shared" si="72"/>
        <v>4.9654500844950817</v>
      </c>
      <c r="AQ53" s="228">
        <f t="shared" si="73"/>
        <v>1.02725597959861</v>
      </c>
      <c r="AR53" s="228">
        <f t="shared" si="74"/>
        <v>20.688073832547001</v>
      </c>
      <c r="AT53" s="229">
        <f t="shared" si="75"/>
        <v>1.4167720064353022</v>
      </c>
      <c r="AU53" s="229">
        <f t="shared" si="76"/>
        <v>1.47</v>
      </c>
      <c r="AV53" s="229">
        <f t="shared" si="77"/>
        <v>1.3270141968664664</v>
      </c>
      <c r="AW53" s="229">
        <f t="shared" si="78"/>
        <v>1.4167720064353022</v>
      </c>
      <c r="AX53" s="229">
        <f t="shared" si="79"/>
        <v>0.91372365845592651</v>
      </c>
      <c r="AY53" s="229">
        <f t="shared" si="80"/>
        <v>1.3</v>
      </c>
      <c r="AZ53" s="229">
        <f t="shared" si="81"/>
        <v>1.2999999999993899</v>
      </c>
      <c r="BA53" s="229">
        <f t="shared" si="82"/>
        <v>1.2327847808507542</v>
      </c>
      <c r="BB53" s="229">
        <f t="shared" si="83"/>
        <v>1.2971333311303925</v>
      </c>
      <c r="BC53" s="229">
        <f t="shared" si="84"/>
        <v>0.1734369894658675</v>
      </c>
      <c r="BD53" s="229">
        <f t="shared" si="85"/>
        <v>13.370791213477265</v>
      </c>
      <c r="BF53" s="230">
        <f t="shared" si="86"/>
        <v>11.73</v>
      </c>
      <c r="BG53" s="230">
        <f t="shared" si="87"/>
        <v>6.27</v>
      </c>
      <c r="BH53" s="230">
        <f t="shared" si="88"/>
        <v>6.6146461538461541</v>
      </c>
      <c r="BI53" s="230">
        <f t="shared" si="192"/>
        <v>8.2048820512820502</v>
      </c>
      <c r="BJ53" s="230">
        <f t="shared" si="193"/>
        <v>3.0577013682046066</v>
      </c>
      <c r="BK53" s="230">
        <f t="shared" si="89"/>
        <v>37.266853430596562</v>
      </c>
      <c r="BM53" s="227">
        <f t="shared" si="90"/>
        <v>31.73</v>
      </c>
      <c r="BN53" s="227">
        <f t="shared" si="91"/>
        <v>24.573543904221737</v>
      </c>
      <c r="BO53" s="227">
        <f t="shared" si="92"/>
        <v>22.86796040201121</v>
      </c>
      <c r="BP53" s="227">
        <f t="shared" si="93"/>
        <v>24.573543904221737</v>
      </c>
      <c r="BQ53" s="227">
        <f t="shared" si="94"/>
        <v>15.17</v>
      </c>
      <c r="BR53" s="227">
        <f t="shared" si="95"/>
        <v>21.608156753007012</v>
      </c>
      <c r="BS53" s="227">
        <f t="shared" si="96"/>
        <v>19.95</v>
      </c>
      <c r="BT53" s="227">
        <f t="shared" si="194"/>
        <v>22.924743566208811</v>
      </c>
      <c r="BU53" s="227">
        <f t="shared" si="195"/>
        <v>5.0611493786964212</v>
      </c>
      <c r="BV53" s="227">
        <f t="shared" si="97"/>
        <v>22.077234426109705</v>
      </c>
      <c r="BX53" s="231">
        <f t="shared" si="98"/>
        <v>0.33412124104138063</v>
      </c>
      <c r="BY53" s="231">
        <f t="shared" si="99"/>
        <v>0.30831918024061933</v>
      </c>
      <c r="BZ53" s="231">
        <f t="shared" si="100"/>
        <v>0.32391042510380108</v>
      </c>
      <c r="CA53" s="231">
        <f t="shared" si="101"/>
        <v>0.24</v>
      </c>
      <c r="CB53" s="231">
        <f t="shared" si="102"/>
        <v>0.36921029643874159</v>
      </c>
      <c r="CC53" s="231">
        <f t="shared" si="103"/>
        <v>0.31662694440923889</v>
      </c>
      <c r="CD53" s="231">
        <f t="shared" si="104"/>
        <v>0.48</v>
      </c>
      <c r="CE53" s="231">
        <f t="shared" si="105"/>
        <v>0.45234711095565766</v>
      </c>
      <c r="CF53" s="231">
        <f t="shared" si="106"/>
        <v>0.35306689977367989</v>
      </c>
      <c r="CG53" s="231">
        <f t="shared" si="107"/>
        <v>7.8878362138954175E-2</v>
      </c>
      <c r="CH53" s="231">
        <f t="shared" si="196"/>
        <v>22.340911082153596</v>
      </c>
      <c r="CJ53" s="232">
        <f t="shared" si="108"/>
        <v>1.5061741346961091</v>
      </c>
      <c r="CK53" s="232">
        <f t="shared" si="109"/>
        <v>1.5061741346961091</v>
      </c>
      <c r="CL53" s="232">
        <f t="shared" si="110"/>
        <v>2.1</v>
      </c>
      <c r="CM53" s="232">
        <f t="shared" si="111"/>
        <v>1.8730999761274805</v>
      </c>
      <c r="CN53" s="232">
        <f t="shared" si="112"/>
        <v>1.8885047806175757</v>
      </c>
      <c r="CO53" s="232">
        <f t="shared" si="113"/>
        <v>1.5329566970822539</v>
      </c>
      <c r="CP53" s="232">
        <f t="shared" si="114"/>
        <v>1.5071228598538293</v>
      </c>
      <c r="CQ53" s="232">
        <f t="shared" si="115"/>
        <v>1.8826128502546822</v>
      </c>
      <c r="CR53" s="232">
        <f t="shared" si="116"/>
        <v>4.0211385732749614</v>
      </c>
      <c r="CS53" s="232">
        <f t="shared" si="117"/>
        <v>1.41</v>
      </c>
      <c r="CT53" s="232">
        <f t="shared" si="118"/>
        <v>1.4089616391263273</v>
      </c>
      <c r="CU53" s="232">
        <f t="shared" si="119"/>
        <v>1.8760677859753938</v>
      </c>
      <c r="CV53" s="232">
        <f t="shared" si="120"/>
        <v>0.74930475652402617</v>
      </c>
      <c r="CW53" s="232">
        <f t="shared" si="197"/>
        <v>39.940174983307024</v>
      </c>
      <c r="CY53" s="229">
        <f t="shared" si="198"/>
        <v>1.19</v>
      </c>
      <c r="CZ53" s="229">
        <f t="shared" si="199"/>
        <v>0.75817100917460423</v>
      </c>
      <c r="DA53" s="229">
        <f t="shared" si="200"/>
        <v>0.51937763489383804</v>
      </c>
      <c r="DB53" s="229">
        <f t="shared" si="201"/>
        <v>1.1997655065249444</v>
      </c>
      <c r="DC53" s="229">
        <f t="shared" si="202"/>
        <v>0.57999999999999996</v>
      </c>
      <c r="DD53" s="229">
        <f t="shared" si="203"/>
        <v>0.56183572880089283</v>
      </c>
      <c r="DE53" s="229">
        <f t="shared" si="204"/>
        <v>0.8</v>
      </c>
      <c r="DF53" s="229">
        <f t="shared" si="205"/>
        <v>0.80130712562775408</v>
      </c>
      <c r="DG53" s="229">
        <f t="shared" si="206"/>
        <v>0.28795870552110675</v>
      </c>
      <c r="DH53" s="229">
        <f t="shared" si="207"/>
        <v>35.936121907753694</v>
      </c>
      <c r="DJ53" s="234">
        <f t="shared" si="121"/>
        <v>0.11878812551790306</v>
      </c>
      <c r="DK53" s="234">
        <f t="shared" si="122"/>
        <v>0.16052449394311225</v>
      </c>
      <c r="DL53" s="234">
        <f t="shared" si="123"/>
        <v>0.1160260709489732</v>
      </c>
      <c r="DM53" s="234">
        <f t="shared" si="208"/>
        <v>0.13177956346999617</v>
      </c>
      <c r="DN53" s="234">
        <f t="shared" si="209"/>
        <v>2.4932117986417503E-2</v>
      </c>
      <c r="DO53" s="234">
        <f t="shared" si="210"/>
        <v>18.919563344959855</v>
      </c>
      <c r="DQ53" s="229">
        <f t="shared" si="124"/>
        <v>3.49</v>
      </c>
      <c r="DR53" s="229">
        <f t="shared" si="125"/>
        <v>3.8412249389145825</v>
      </c>
      <c r="DS53" s="229">
        <f t="shared" si="126"/>
        <v>3.0084417862756405</v>
      </c>
      <c r="DT53" s="229">
        <f t="shared" si="127"/>
        <v>2.6731162709475544</v>
      </c>
      <c r="DU53" s="229">
        <f t="shared" si="128"/>
        <v>3.8412249389145825</v>
      </c>
      <c r="DV53" s="229">
        <f t="shared" si="129"/>
        <v>1.97</v>
      </c>
      <c r="DW53" s="229">
        <f t="shared" si="130"/>
        <v>1.8767</v>
      </c>
      <c r="DX53" s="229">
        <f t="shared" si="131"/>
        <v>3.4885243427394172</v>
      </c>
      <c r="DY53" s="229">
        <f t="shared" si="211"/>
        <v>3.0236540347239722</v>
      </c>
      <c r="DZ53" s="229">
        <f t="shared" si="212"/>
        <v>0.78551401263827902</v>
      </c>
      <c r="EA53" s="229">
        <f t="shared" si="213"/>
        <v>25.978964644015175</v>
      </c>
      <c r="EC53" s="235">
        <f t="shared" si="132"/>
        <v>0.2145361129819536</v>
      </c>
      <c r="ED53" s="235">
        <f t="shared" si="133"/>
        <v>0.15</v>
      </c>
      <c r="EE53" s="235">
        <f t="shared" si="134"/>
        <v>0.17657694333742349</v>
      </c>
      <c r="EF53" s="235">
        <f t="shared" si="135"/>
        <v>0.14586546263945149</v>
      </c>
      <c r="EG53" s="235">
        <f t="shared" si="136"/>
        <v>0.17174462973970717</v>
      </c>
      <c r="EH53" s="235">
        <f t="shared" si="137"/>
        <v>3.1607079929967204E-2</v>
      </c>
      <c r="EI53" s="235">
        <f t="shared" si="214"/>
        <v>18.40353318637694</v>
      </c>
      <c r="EK53" s="236">
        <f t="shared" si="138"/>
        <v>20.705381659388649</v>
      </c>
      <c r="EL53" s="236">
        <f t="shared" si="139"/>
        <v>31.366189400912361</v>
      </c>
      <c r="EM53" s="236">
        <f t="shared" si="140"/>
        <v>32.039008581115795</v>
      </c>
      <c r="EN53" s="236">
        <f t="shared" si="141"/>
        <v>14.4</v>
      </c>
      <c r="EO53" s="236">
        <f t="shared" si="142"/>
        <v>30.522161808541966</v>
      </c>
      <c r="EP53" s="236">
        <f t="shared" si="143"/>
        <v>32.039008581115795</v>
      </c>
      <c r="EQ53" s="236">
        <f t="shared" si="144"/>
        <v>33.334889898178197</v>
      </c>
      <c r="ER53" s="236">
        <f t="shared" si="145"/>
        <v>27.7723771327504</v>
      </c>
      <c r="ES53" s="236">
        <f t="shared" si="146"/>
        <v>7.2639467426569277</v>
      </c>
      <c r="ET53" s="236">
        <f t="shared" si="215"/>
        <v>26.155293469967194</v>
      </c>
      <c r="EV53" s="238">
        <f t="shared" si="147"/>
        <v>1.6052449394311226E-2</v>
      </c>
      <c r="EW53" s="238">
        <f t="shared" si="148"/>
        <v>1.6052449394311226E-2</v>
      </c>
      <c r="EX53" s="238" t="e">
        <f t="shared" si="149"/>
        <v>#DIV/0!</v>
      </c>
      <c r="EY53" s="238" t="e">
        <f t="shared" si="216"/>
        <v>#DIV/0!</v>
      </c>
      <c r="FA53" s="240">
        <f t="shared" si="150"/>
        <v>0.49762593122364795</v>
      </c>
      <c r="FB53" s="240">
        <f t="shared" si="151"/>
        <v>0.66858451727306256</v>
      </c>
      <c r="FC53" s="240">
        <f t="shared" si="152"/>
        <v>0.5831052242483552</v>
      </c>
      <c r="FD53" s="240">
        <f t="shared" si="153"/>
        <v>0.12088597549760534</v>
      </c>
      <c r="FE53" s="240">
        <f t="shared" si="217"/>
        <v>20.731416984547163</v>
      </c>
      <c r="FG53" s="236">
        <f t="shared" si="154"/>
        <v>1.2</v>
      </c>
      <c r="FH53" s="236">
        <f t="shared" si="155"/>
        <v>1.3854250060176267</v>
      </c>
      <c r="FI53" s="236">
        <f t="shared" si="156"/>
        <v>1.3243270750306761</v>
      </c>
      <c r="FJ53" s="236">
        <f t="shared" si="157"/>
        <v>0.92</v>
      </c>
      <c r="FK53" s="236">
        <f t="shared" si="158"/>
        <v>1.284195951544898</v>
      </c>
      <c r="FL53" s="236">
        <f t="shared" si="159"/>
        <v>0.9</v>
      </c>
      <c r="FM53" s="236">
        <f t="shared" si="160"/>
        <v>1.1689913387655337</v>
      </c>
      <c r="FN53" s="236">
        <f t="shared" si="161"/>
        <v>0.20955161190959459</v>
      </c>
      <c r="FO53" s="236">
        <f t="shared" si="218"/>
        <v>17.925848118847753</v>
      </c>
      <c r="FQ53" s="227">
        <f t="shared" si="162"/>
        <v>0.32</v>
      </c>
      <c r="FR53" s="227">
        <f t="shared" si="163"/>
        <v>0.34668455533650067</v>
      </c>
      <c r="FS53" s="227">
        <f t="shared" si="164"/>
        <v>0.34668455533650067</v>
      </c>
      <c r="FT53" s="227">
        <f t="shared" si="165"/>
        <v>0.24</v>
      </c>
      <c r="FU53" s="227">
        <f t="shared" si="166"/>
        <v>0.33445278313047433</v>
      </c>
      <c r="FV53" s="227">
        <f t="shared" si="219"/>
        <v>0.3175643787606951</v>
      </c>
      <c r="FW53" s="227">
        <f t="shared" si="220"/>
        <v>4.4730729574654141E-2</v>
      </c>
      <c r="FX53" s="227">
        <f t="shared" si="221"/>
        <v>14.085562665818255</v>
      </c>
      <c r="FZ53" s="230">
        <f t="shared" si="167"/>
        <v>1.6855071864026787</v>
      </c>
      <c r="GA53" s="230">
        <f t="shared" si="168"/>
        <v>2.4700000000000002</v>
      </c>
      <c r="GB53" s="230">
        <f t="shared" si="169"/>
        <v>3.6086056971684246</v>
      </c>
      <c r="GC53" s="230">
        <f t="shared" si="170"/>
        <v>2.5880376278570343</v>
      </c>
      <c r="GD53" s="230">
        <f t="shared" si="171"/>
        <v>0.96696775112717404</v>
      </c>
      <c r="GE53" s="230">
        <f t="shared" si="222"/>
        <v>37.362971106716472</v>
      </c>
      <c r="GG53" s="231">
        <f t="shared" si="172"/>
        <v>0.11236714576017857</v>
      </c>
      <c r="GH53" s="231">
        <f t="shared" si="173"/>
        <v>0.05</v>
      </c>
      <c r="GI53" s="231">
        <f t="shared" si="174"/>
        <v>0.05</v>
      </c>
      <c r="GJ53" s="231">
        <f t="shared" si="175"/>
        <v>0.12456700729985511</v>
      </c>
      <c r="GK53" s="245">
        <f t="shared" si="186"/>
        <v>7.4855669099951713E-2</v>
      </c>
      <c r="GL53" s="231">
        <f t="shared" si="187"/>
        <v>4.3051281737236123E-2</v>
      </c>
      <c r="GM53" s="231">
        <f t="shared" si="223"/>
        <v>57.512386509766557</v>
      </c>
      <c r="GO53" s="246">
        <f t="shared" si="176"/>
        <v>0.18</v>
      </c>
      <c r="GP53" s="246">
        <f t="shared" si="177"/>
        <v>0.18460316803457907</v>
      </c>
      <c r="GQ53" s="247">
        <f t="shared" si="188"/>
        <v>0.18230158401728952</v>
      </c>
      <c r="GR53" s="246">
        <f t="shared" si="189"/>
        <v>3.2549313321920195E-3</v>
      </c>
      <c r="GS53" s="246">
        <f t="shared" si="224"/>
        <v>1.7854651947968381</v>
      </c>
      <c r="GU53" s="249">
        <f t="shared" si="178"/>
        <v>2.273829456704185E-2</v>
      </c>
      <c r="GV53" s="249">
        <f t="shared" si="179"/>
        <v>2.273829456704185E-2</v>
      </c>
      <c r="GW53" s="249" t="e">
        <f t="shared" si="180"/>
        <v>#DIV/0!</v>
      </c>
      <c r="GX53" s="249" t="e">
        <f t="shared" si="225"/>
        <v>#DIV/0!</v>
      </c>
      <c r="GZ53" s="240">
        <f t="shared" si="181"/>
        <v>2.4078674091466839E-2</v>
      </c>
      <c r="HA53" s="240">
        <f t="shared" si="182"/>
        <v>2.4078674091466839E-2</v>
      </c>
      <c r="HB53" s="240" t="e">
        <f t="shared" si="183"/>
        <v>#DIV/0!</v>
      </c>
      <c r="HC53" s="240" t="e">
        <f t="shared" si="226"/>
        <v>#DIV/0!</v>
      </c>
      <c r="HE53" s="234">
        <f t="shared" si="184"/>
        <v>9.5081873896151775E-2</v>
      </c>
      <c r="HF53" s="234">
        <f t="shared" si="185"/>
        <v>9.5081873896151775E-2</v>
      </c>
      <c r="HG53" s="251">
        <f t="shared" si="190"/>
        <v>9.5081873896151775E-2</v>
      </c>
      <c r="HH53" s="234">
        <f t="shared" si="191"/>
        <v>0</v>
      </c>
      <c r="HI53" s="234">
        <f t="shared" si="227"/>
        <v>0</v>
      </c>
    </row>
    <row r="54" spans="2:217" ht="15.6" x14ac:dyDescent="0.25">
      <c r="B54">
        <v>50</v>
      </c>
      <c r="C54" s="124">
        <f t="shared" si="38"/>
        <v>80.284656205129068</v>
      </c>
      <c r="D54" s="124">
        <f t="shared" si="39"/>
        <v>173.91883200000024</v>
      </c>
      <c r="E54" s="29">
        <f t="shared" si="40"/>
        <v>2.1693099186175555</v>
      </c>
      <c r="F54" s="29">
        <f t="shared" si="41"/>
        <v>1.9832611108249625</v>
      </c>
      <c r="G54" s="29">
        <f t="shared" si="42"/>
        <v>1.9502327741521963</v>
      </c>
      <c r="H54" s="29">
        <f t="shared" si="43"/>
        <v>1.982417169926739</v>
      </c>
      <c r="I54" s="29">
        <f t="shared" si="44"/>
        <v>2.0079375254909126</v>
      </c>
      <c r="J54" s="29">
        <f t="shared" si="45"/>
        <v>1.982417169926739</v>
      </c>
      <c r="K54" s="29">
        <f t="shared" si="46"/>
        <v>1.9694199396098009</v>
      </c>
      <c r="L54" s="125">
        <f t="shared" si="0"/>
        <v>2.006427944078415</v>
      </c>
      <c r="M54" s="126">
        <f t="shared" si="1"/>
        <v>7.3880582357967586E-2</v>
      </c>
      <c r="N54" s="126">
        <f t="shared" si="47"/>
        <v>3.6821946472591689</v>
      </c>
      <c r="P54" s="138">
        <f t="shared" si="48"/>
        <v>421.34986825646718</v>
      </c>
      <c r="Q54" s="138">
        <f t="shared" si="49"/>
        <v>325.79239999999999</v>
      </c>
      <c r="R54" s="138">
        <f t="shared" si="50"/>
        <v>421.34986825646718</v>
      </c>
      <c r="S54" s="138">
        <f t="shared" si="51"/>
        <v>382.71249758671638</v>
      </c>
      <c r="T54" s="138">
        <f t="shared" si="52"/>
        <v>463.39262958727636</v>
      </c>
      <c r="U54" s="138">
        <f t="shared" si="53"/>
        <v>421.34986825646718</v>
      </c>
      <c r="V54" s="138">
        <f t="shared" si="54"/>
        <v>278.55</v>
      </c>
      <c r="W54" s="138">
        <f t="shared" si="55"/>
        <v>387.78530456334204</v>
      </c>
      <c r="X54" s="138">
        <f t="shared" si="56"/>
        <v>64.417146727239668</v>
      </c>
      <c r="Y54" s="138">
        <f t="shared" si="57"/>
        <v>16.611549217878515</v>
      </c>
      <c r="AA54" s="227">
        <f t="shared" si="228"/>
        <v>0.44510874999999994</v>
      </c>
      <c r="AB54" s="227">
        <f t="shared" si="229"/>
        <v>0.40763745704467352</v>
      </c>
      <c r="AC54" s="227">
        <f t="shared" si="230"/>
        <v>0.47</v>
      </c>
      <c r="AD54" s="227">
        <f t="shared" si="231"/>
        <v>0.44510874999999994</v>
      </c>
      <c r="AE54" s="227">
        <f t="shared" si="62"/>
        <v>0.44196373926116833</v>
      </c>
      <c r="AF54" s="227">
        <f t="shared" si="63"/>
        <v>2.5717100355709704E-2</v>
      </c>
      <c r="AG54" s="227">
        <f t="shared" si="64"/>
        <v>5.8188258608502661</v>
      </c>
      <c r="AI54" s="228">
        <f t="shared" si="65"/>
        <v>4.4904323144782703</v>
      </c>
      <c r="AJ54" s="228">
        <f t="shared" si="66"/>
        <v>4.4904323144782703</v>
      </c>
      <c r="AK54" s="228">
        <f t="shared" si="67"/>
        <v>4.4904323144782703</v>
      </c>
      <c r="AL54" s="228">
        <f t="shared" si="68"/>
        <v>7.1992780309274904</v>
      </c>
      <c r="AM54" s="228">
        <f t="shared" si="69"/>
        <v>4.28</v>
      </c>
      <c r="AN54" s="228">
        <f t="shared" si="70"/>
        <v>5.2185026533333891</v>
      </c>
      <c r="AO54" s="228">
        <f t="shared" si="71"/>
        <v>4.6010361615552675</v>
      </c>
      <c r="AP54" s="228">
        <f t="shared" si="72"/>
        <v>4.9671591127501369</v>
      </c>
      <c r="AQ54" s="228">
        <f t="shared" si="73"/>
        <v>1.0274213207894978</v>
      </c>
      <c r="AR54" s="228">
        <f t="shared" si="74"/>
        <v>20.684284466592246</v>
      </c>
      <c r="AT54" s="229">
        <f t="shared" si="75"/>
        <v>1.4173239436619718</v>
      </c>
      <c r="AU54" s="229">
        <f t="shared" si="76"/>
        <v>1.47</v>
      </c>
      <c r="AV54" s="229">
        <f t="shared" si="77"/>
        <v>1.3272754938294971</v>
      </c>
      <c r="AW54" s="229">
        <f t="shared" si="78"/>
        <v>1.4173239436619718</v>
      </c>
      <c r="AX54" s="229">
        <f t="shared" si="79"/>
        <v>0.93218588633997534</v>
      </c>
      <c r="AY54" s="229">
        <f t="shared" si="80"/>
        <v>1.3</v>
      </c>
      <c r="AZ54" s="229">
        <f t="shared" si="81"/>
        <v>1.2999999999996561</v>
      </c>
      <c r="BA54" s="229">
        <f t="shared" si="82"/>
        <v>1.2308264257730777</v>
      </c>
      <c r="BB54" s="229">
        <f t="shared" si="83"/>
        <v>1.2993669616582686</v>
      </c>
      <c r="BC54" s="229">
        <f t="shared" si="84"/>
        <v>0.16786166402935984</v>
      </c>
      <c r="BD54" s="229">
        <f t="shared" si="85"/>
        <v>12.918726501644512</v>
      </c>
      <c r="BF54" s="230">
        <f t="shared" si="86"/>
        <v>11.73</v>
      </c>
      <c r="BG54" s="230">
        <f t="shared" si="87"/>
        <v>6.27</v>
      </c>
      <c r="BH54" s="230">
        <f t="shared" si="88"/>
        <v>5.753107692307692</v>
      </c>
      <c r="BI54" s="230">
        <f t="shared" si="192"/>
        <v>7.9177025641025649</v>
      </c>
      <c r="BJ54" s="230">
        <f t="shared" si="193"/>
        <v>3.311646602409513</v>
      </c>
      <c r="BK54" s="230">
        <f t="shared" si="89"/>
        <v>41.825852582842927</v>
      </c>
      <c r="BM54" s="227">
        <f t="shared" si="90"/>
        <v>31.73</v>
      </c>
      <c r="BN54" s="227">
        <f t="shared" si="91"/>
        <v>24.585743614694536</v>
      </c>
      <c r="BO54" s="227">
        <f t="shared" si="92"/>
        <v>22.870012936527203</v>
      </c>
      <c r="BP54" s="227">
        <f t="shared" si="93"/>
        <v>24.585743614694536</v>
      </c>
      <c r="BQ54" s="227">
        <f t="shared" si="94"/>
        <v>15.17</v>
      </c>
      <c r="BR54" s="227">
        <f t="shared" si="95"/>
        <v>21.464715538534566</v>
      </c>
      <c r="BS54" s="227">
        <f t="shared" si="96"/>
        <v>19.95</v>
      </c>
      <c r="BT54" s="227">
        <f t="shared" si="194"/>
        <v>22.908030814921549</v>
      </c>
      <c r="BU54" s="227">
        <f t="shared" si="195"/>
        <v>5.068994843167439</v>
      </c>
      <c r="BV54" s="227">
        <f t="shared" si="97"/>
        <v>22.127588722578722</v>
      </c>
      <c r="BX54" s="231">
        <f t="shared" si="98"/>
        <v>0.33433562717380566</v>
      </c>
      <c r="BY54" s="231">
        <f t="shared" si="99"/>
        <v>0.3080021702643107</v>
      </c>
      <c r="BZ54" s="231">
        <f t="shared" si="100"/>
        <v>0.32397668462304374</v>
      </c>
      <c r="CA54" s="231">
        <f t="shared" si="101"/>
        <v>0.24</v>
      </c>
      <c r="CB54" s="231">
        <f t="shared" si="102"/>
        <v>0.36931259452443577</v>
      </c>
      <c r="CC54" s="231">
        <f t="shared" si="103"/>
        <v>0.31683539418084411</v>
      </c>
      <c r="CD54" s="231">
        <f t="shared" si="104"/>
        <v>0.48</v>
      </c>
      <c r="CE54" s="231">
        <f t="shared" si="105"/>
        <v>0.45271897376596726</v>
      </c>
      <c r="CF54" s="231">
        <f t="shared" si="106"/>
        <v>0.35314768056655094</v>
      </c>
      <c r="CG54" s="231">
        <f t="shared" si="107"/>
        <v>7.8949527308908557E-2</v>
      </c>
      <c r="CH54" s="231">
        <f t="shared" si="196"/>
        <v>22.355952382938124</v>
      </c>
      <c r="CJ54" s="232">
        <f t="shared" si="108"/>
        <v>1.5068892991101941</v>
      </c>
      <c r="CK54" s="232">
        <f t="shared" si="109"/>
        <v>1.5068892991101941</v>
      </c>
      <c r="CL54" s="232">
        <f t="shared" si="110"/>
        <v>2.1</v>
      </c>
      <c r="CM54" s="232">
        <f t="shared" si="111"/>
        <v>1.8732794871769631</v>
      </c>
      <c r="CN54" s="232">
        <f t="shared" si="112"/>
        <v>1.8860614538470988</v>
      </c>
      <c r="CO54" s="232">
        <f t="shared" si="113"/>
        <v>1.5332905282199583</v>
      </c>
      <c r="CP54" s="232">
        <f t="shared" si="114"/>
        <v>1.5078384747433649</v>
      </c>
      <c r="CQ54" s="232">
        <f t="shared" si="115"/>
        <v>1.883112595679524</v>
      </c>
      <c r="CR54" s="232">
        <f t="shared" si="116"/>
        <v>4.022261275876966</v>
      </c>
      <c r="CS54" s="232">
        <f t="shared" si="117"/>
        <v>1.41</v>
      </c>
      <c r="CT54" s="232">
        <f t="shared" si="118"/>
        <v>1.4096999519136575</v>
      </c>
      <c r="CU54" s="232">
        <f t="shared" si="119"/>
        <v>1.8763020332434477</v>
      </c>
      <c r="CV54" s="232">
        <f t="shared" si="120"/>
        <v>0.74945590454142541</v>
      </c>
      <c r="CW54" s="232">
        <f t="shared" si="197"/>
        <v>39.943244278528397</v>
      </c>
      <c r="CY54" s="229">
        <f t="shared" si="198"/>
        <v>1.19</v>
      </c>
      <c r="CZ54" s="229">
        <f t="shared" si="199"/>
        <v>0.76007648965649288</v>
      </c>
      <c r="DA54" s="229">
        <f t="shared" si="200"/>
        <v>0.51976125496800152</v>
      </c>
      <c r="DB54" s="229">
        <f t="shared" si="201"/>
        <v>1.2000186214155033</v>
      </c>
      <c r="DC54" s="229">
        <f t="shared" si="202"/>
        <v>0.57999999999999996</v>
      </c>
      <c r="DD54" s="229">
        <f t="shared" si="203"/>
        <v>0.56199259343590346</v>
      </c>
      <c r="DE54" s="229">
        <f t="shared" si="204"/>
        <v>0.8</v>
      </c>
      <c r="DF54" s="229">
        <f t="shared" si="205"/>
        <v>0.80169270849655727</v>
      </c>
      <c r="DG54" s="229">
        <f t="shared" si="206"/>
        <v>0.28788597485793044</v>
      </c>
      <c r="DH54" s="229">
        <f t="shared" si="207"/>
        <v>35.90976589993106</v>
      </c>
      <c r="DJ54" s="234">
        <f t="shared" si="121"/>
        <v>0.11882129118359101</v>
      </c>
      <c r="DK54" s="234">
        <f t="shared" si="122"/>
        <v>0.16056931241025812</v>
      </c>
      <c r="DL54" s="234">
        <f t="shared" si="123"/>
        <v>0.11610594999753406</v>
      </c>
      <c r="DM54" s="234">
        <f t="shared" si="208"/>
        <v>0.13183218453046106</v>
      </c>
      <c r="DN54" s="234">
        <f t="shared" si="209"/>
        <v>2.4924087917595594E-2</v>
      </c>
      <c r="DO54" s="234">
        <f t="shared" si="210"/>
        <v>18.905920436929915</v>
      </c>
      <c r="DQ54" s="229">
        <f t="shared" si="124"/>
        <v>3.49</v>
      </c>
      <c r="DR54" s="229">
        <f t="shared" si="125"/>
        <v>3.8427604681920231</v>
      </c>
      <c r="DS54" s="229">
        <f t="shared" si="126"/>
        <v>3.0096419161176224</v>
      </c>
      <c r="DT54" s="229">
        <f t="shared" si="127"/>
        <v>2.6737110636547086</v>
      </c>
      <c r="DU54" s="229">
        <f t="shared" si="128"/>
        <v>3.8427604681920231</v>
      </c>
      <c r="DV54" s="229">
        <f t="shared" si="129"/>
        <v>1.97</v>
      </c>
      <c r="DW54" s="229">
        <f t="shared" si="130"/>
        <v>1.915</v>
      </c>
      <c r="DX54" s="229">
        <f t="shared" si="131"/>
        <v>3.493104786348928</v>
      </c>
      <c r="DY54" s="229">
        <f t="shared" si="211"/>
        <v>3.029622337813163</v>
      </c>
      <c r="DZ54" s="229">
        <f t="shared" si="212"/>
        <v>0.7784054504619714</v>
      </c>
      <c r="EA54" s="229">
        <f t="shared" si="213"/>
        <v>25.693151279833735</v>
      </c>
      <c r="EC54" s="235">
        <f t="shared" si="132"/>
        <v>0.21458599041759768</v>
      </c>
      <c r="ED54" s="235">
        <f t="shared" si="133"/>
        <v>0.15</v>
      </c>
      <c r="EE54" s="235">
        <f t="shared" si="134"/>
        <v>0.17662624365128396</v>
      </c>
      <c r="EF54" s="235">
        <f t="shared" si="135"/>
        <v>0.1459590590578316</v>
      </c>
      <c r="EG54" s="235">
        <f t="shared" si="136"/>
        <v>0.1717928232816783</v>
      </c>
      <c r="EH54" s="235">
        <f t="shared" si="137"/>
        <v>3.1606579623826403E-2</v>
      </c>
      <c r="EI54" s="235">
        <f t="shared" si="214"/>
        <v>18.398079163064342</v>
      </c>
      <c r="EK54" s="236">
        <f t="shared" si="138"/>
        <v>20.705381659388649</v>
      </c>
      <c r="EL54" s="236">
        <f t="shared" si="139"/>
        <v>31.40289040716635</v>
      </c>
      <c r="EM54" s="236">
        <f t="shared" si="140"/>
        <v>32.076496840823644</v>
      </c>
      <c r="EN54" s="236">
        <f t="shared" si="141"/>
        <v>14.4</v>
      </c>
      <c r="EO54" s="236">
        <f t="shared" si="142"/>
        <v>30.626250369586153</v>
      </c>
      <c r="EP54" s="236">
        <f t="shared" si="143"/>
        <v>32.076496840823644</v>
      </c>
      <c r="EQ54" s="236">
        <f t="shared" si="144"/>
        <v>33.353931947896861</v>
      </c>
      <c r="ER54" s="236">
        <f t="shared" si="145"/>
        <v>27.805921152240757</v>
      </c>
      <c r="ES54" s="236">
        <f t="shared" si="146"/>
        <v>7.2833701557873995</v>
      </c>
      <c r="ET54" s="236">
        <f t="shared" si="215"/>
        <v>26.193594220130574</v>
      </c>
      <c r="EV54" s="238">
        <f t="shared" si="147"/>
        <v>1.6056931241025814E-2</v>
      </c>
      <c r="EW54" s="238">
        <f t="shared" si="148"/>
        <v>1.6056931241025814E-2</v>
      </c>
      <c r="EX54" s="238" t="e">
        <f t="shared" si="149"/>
        <v>#DIV/0!</v>
      </c>
      <c r="EY54" s="238" t="e">
        <f t="shared" si="216"/>
        <v>#DIV/0!</v>
      </c>
      <c r="FA54" s="240">
        <f t="shared" si="150"/>
        <v>0.49776486847180018</v>
      </c>
      <c r="FB54" s="240">
        <f t="shared" si="151"/>
        <v>0.66877118618872522</v>
      </c>
      <c r="FC54" s="240">
        <f t="shared" si="152"/>
        <v>0.58326802733026273</v>
      </c>
      <c r="FD54" s="240">
        <f t="shared" si="153"/>
        <v>0.12091972688337853</v>
      </c>
      <c r="FE54" s="240">
        <f t="shared" si="217"/>
        <v>20.731416984547035</v>
      </c>
      <c r="FG54" s="236">
        <f t="shared" si="154"/>
        <v>1.2</v>
      </c>
      <c r="FH54" s="236">
        <f t="shared" si="155"/>
        <v>1.3849734187101501</v>
      </c>
      <c r="FI54" s="236">
        <f t="shared" si="156"/>
        <v>1.3246968273846296</v>
      </c>
      <c r="FJ54" s="236">
        <f t="shared" si="157"/>
        <v>0.92</v>
      </c>
      <c r="FK54" s="236">
        <f t="shared" si="158"/>
        <v>1.284554499282065</v>
      </c>
      <c r="FL54" s="236">
        <f t="shared" si="159"/>
        <v>0.9</v>
      </c>
      <c r="FM54" s="236">
        <f t="shared" si="160"/>
        <v>1.1690374575628075</v>
      </c>
      <c r="FN54" s="236">
        <f t="shared" si="161"/>
        <v>0.20955278739873723</v>
      </c>
      <c r="FO54" s="236">
        <f t="shared" si="218"/>
        <v>17.92524149188597</v>
      </c>
      <c r="FQ54" s="227">
        <f t="shared" si="162"/>
        <v>0.32</v>
      </c>
      <c r="FR54" s="227">
        <f t="shared" si="163"/>
        <v>0.34691496862429677</v>
      </c>
      <c r="FS54" s="227">
        <f t="shared" si="164"/>
        <v>0.34691496862429677</v>
      </c>
      <c r="FT54" s="227">
        <f t="shared" si="165"/>
        <v>0.24</v>
      </c>
      <c r="FU54" s="227">
        <f t="shared" si="166"/>
        <v>0.33454616240677282</v>
      </c>
      <c r="FV54" s="227">
        <f t="shared" si="219"/>
        <v>0.31767521993107328</v>
      </c>
      <c r="FW54" s="227">
        <f t="shared" si="220"/>
        <v>4.4814615085409418E-2</v>
      </c>
      <c r="FX54" s="227">
        <f t="shared" si="221"/>
        <v>14.107054083454463</v>
      </c>
      <c r="FZ54" s="230">
        <f t="shared" si="167"/>
        <v>1.6859777803077105</v>
      </c>
      <c r="GA54" s="230">
        <f t="shared" si="168"/>
        <v>2.4700000000000002</v>
      </c>
      <c r="GB54" s="230">
        <f t="shared" si="169"/>
        <v>3.6100196547199705</v>
      </c>
      <c r="GC54" s="230">
        <f t="shared" si="170"/>
        <v>2.5886658116758938</v>
      </c>
      <c r="GD54" s="230">
        <f t="shared" si="171"/>
        <v>0.96749442622088699</v>
      </c>
      <c r="GE54" s="230">
        <f t="shared" si="222"/>
        <v>37.3742497721069</v>
      </c>
      <c r="GG54" s="231">
        <f t="shared" si="172"/>
        <v>0.11239851868718069</v>
      </c>
      <c r="GH54" s="231">
        <f t="shared" si="173"/>
        <v>0.05</v>
      </c>
      <c r="GI54" s="231">
        <f t="shared" si="174"/>
        <v>0.05</v>
      </c>
      <c r="GJ54" s="231">
        <f t="shared" si="175"/>
        <v>0.12460178643036031</v>
      </c>
      <c r="GK54" s="245">
        <f t="shared" si="186"/>
        <v>7.4867262143453447E-2</v>
      </c>
      <c r="GL54" s="231">
        <f t="shared" si="187"/>
        <v>4.307136147759548E-2</v>
      </c>
      <c r="GM54" s="231">
        <f t="shared" si="223"/>
        <v>57.530301288520846</v>
      </c>
      <c r="GO54" s="246">
        <f t="shared" si="176"/>
        <v>0.18</v>
      </c>
      <c r="GP54" s="246">
        <f t="shared" si="177"/>
        <v>0.18465470927179686</v>
      </c>
      <c r="GQ54" s="247">
        <f t="shared" si="188"/>
        <v>0.18232735463589844</v>
      </c>
      <c r="GR54" s="246">
        <f t="shared" si="189"/>
        <v>3.2913764905394632E-3</v>
      </c>
      <c r="GS54" s="246">
        <f t="shared" si="224"/>
        <v>1.8052016918208629</v>
      </c>
      <c r="GU54" s="249">
        <f t="shared" si="178"/>
        <v>2.2744643102913065E-2</v>
      </c>
      <c r="GV54" s="249">
        <f t="shared" si="179"/>
        <v>2.2744643102913065E-2</v>
      </c>
      <c r="GW54" s="249" t="e">
        <f t="shared" si="180"/>
        <v>#DIV/0!</v>
      </c>
      <c r="GX54" s="249" t="e">
        <f t="shared" si="225"/>
        <v>#DIV/0!</v>
      </c>
      <c r="GZ54" s="240">
        <f t="shared" si="181"/>
        <v>2.4085396861538721E-2</v>
      </c>
      <c r="HA54" s="240">
        <f t="shared" si="182"/>
        <v>2.4085396861538721E-2</v>
      </c>
      <c r="HB54" s="240" t="e">
        <f t="shared" si="183"/>
        <v>#DIV/0!</v>
      </c>
      <c r="HC54" s="240" t="e">
        <f t="shared" si="226"/>
        <v>#DIV/0!</v>
      </c>
      <c r="HE54" s="234">
        <f t="shared" si="184"/>
        <v>9.5108540884103573E-2</v>
      </c>
      <c r="HF54" s="234">
        <f t="shared" si="185"/>
        <v>9.5108540884103573E-2</v>
      </c>
      <c r="HG54" s="251">
        <f t="shared" si="190"/>
        <v>9.5108540884103573E-2</v>
      </c>
      <c r="HH54" s="234">
        <f t="shared" si="191"/>
        <v>0</v>
      </c>
      <c r="HI54" s="234">
        <f t="shared" si="227"/>
        <v>0</v>
      </c>
    </row>
    <row r="55" spans="2:217" ht="15.6" x14ac:dyDescent="0.25">
      <c r="B55">
        <v>51</v>
      </c>
      <c r="C55" s="124">
        <f t="shared" si="38"/>
        <v>80.304165802874195</v>
      </c>
      <c r="D55" s="124">
        <f t="shared" si="39"/>
        <v>174.03263591300436</v>
      </c>
      <c r="E55" s="29">
        <f t="shared" si="40"/>
        <v>2.1702694016051711</v>
      </c>
      <c r="F55" s="29">
        <f t="shared" si="41"/>
        <v>1.9840569116246716</v>
      </c>
      <c r="G55" s="29">
        <f t="shared" si="42"/>
        <v>1.9513593858497531</v>
      </c>
      <c r="H55" s="29">
        <f t="shared" si="43"/>
        <v>1.9832126320878098</v>
      </c>
      <c r="I55" s="29">
        <f t="shared" si="44"/>
        <v>2.008743040311419</v>
      </c>
      <c r="J55" s="29">
        <f t="shared" si="45"/>
        <v>1.9832126320878098</v>
      </c>
      <c r="K55" s="29">
        <f t="shared" si="46"/>
        <v>1.9703035334032744</v>
      </c>
      <c r="L55" s="125">
        <f t="shared" si="0"/>
        <v>2.0073082195671299</v>
      </c>
      <c r="M55" s="126">
        <f t="shared" si="1"/>
        <v>7.3891635010563658E-2</v>
      </c>
      <c r="N55" s="126">
        <f t="shared" si="47"/>
        <v>3.6811304955697421</v>
      </c>
      <c r="P55" s="138">
        <f t="shared" si="48"/>
        <v>421.53472610909728</v>
      </c>
      <c r="Q55" s="138">
        <f t="shared" si="49"/>
        <v>325.79239999999999</v>
      </c>
      <c r="R55" s="138">
        <f t="shared" si="50"/>
        <v>421.53472610909728</v>
      </c>
      <c r="S55" s="138">
        <f t="shared" si="51"/>
        <v>381.3976095249289</v>
      </c>
      <c r="T55" s="138">
        <f t="shared" si="52"/>
        <v>463.48062951968058</v>
      </c>
      <c r="U55" s="138">
        <f t="shared" si="53"/>
        <v>421.53472610909728</v>
      </c>
      <c r="V55" s="138">
        <f t="shared" si="54"/>
        <v>276.72438</v>
      </c>
      <c r="W55" s="138">
        <f t="shared" si="55"/>
        <v>387.4284567674145</v>
      </c>
      <c r="X55" s="138">
        <f t="shared" si="56"/>
        <v>65.01847561884037</v>
      </c>
      <c r="Y55" s="138">
        <f t="shared" si="57"/>
        <v>16.782059883090366</v>
      </c>
      <c r="AA55" s="227">
        <f t="shared" si="228"/>
        <v>0.44448430365000002</v>
      </c>
      <c r="AB55" s="227">
        <f t="shared" si="229"/>
        <v>0.40780405405405401</v>
      </c>
      <c r="AC55" s="227">
        <f t="shared" si="230"/>
        <v>0.47</v>
      </c>
      <c r="AD55" s="227">
        <f t="shared" si="231"/>
        <v>0.44448430365000002</v>
      </c>
      <c r="AE55" s="227">
        <f t="shared" si="62"/>
        <v>0.44169316533851355</v>
      </c>
      <c r="AF55" s="227">
        <f t="shared" si="63"/>
        <v>2.5595114497047461E-2</v>
      </c>
      <c r="AG55" s="227">
        <f t="shared" si="64"/>
        <v>5.794772594552458</v>
      </c>
      <c r="AI55" s="228">
        <f t="shared" si="65"/>
        <v>4.4928126701798003</v>
      </c>
      <c r="AJ55" s="228">
        <f t="shared" si="66"/>
        <v>4.4928126701798003</v>
      </c>
      <c r="AK55" s="228">
        <f t="shared" si="67"/>
        <v>4.4928126701798003</v>
      </c>
      <c r="AL55" s="228">
        <f t="shared" si="68"/>
        <v>7.2010269455338509</v>
      </c>
      <c r="AM55" s="228">
        <f t="shared" si="69"/>
        <v>4.28</v>
      </c>
      <c r="AN55" s="228">
        <f t="shared" si="70"/>
        <v>5.2197707771868229</v>
      </c>
      <c r="AO55" s="228">
        <f t="shared" si="71"/>
        <v>4.6032451547627975</v>
      </c>
      <c r="AP55" s="228">
        <f t="shared" si="72"/>
        <v>4.9689258411461248</v>
      </c>
      <c r="AQ55" s="228">
        <f t="shared" si="73"/>
        <v>1.0274232295603751</v>
      </c>
      <c r="AR55" s="228">
        <f t="shared" si="74"/>
        <v>20.676968471789291</v>
      </c>
      <c r="AT55" s="229">
        <f t="shared" si="75"/>
        <v>1.417854774535809</v>
      </c>
      <c r="AU55" s="229">
        <f t="shared" si="76"/>
        <v>1.47</v>
      </c>
      <c r="AV55" s="229">
        <f t="shared" si="77"/>
        <v>1.3276774775475835</v>
      </c>
      <c r="AW55" s="229">
        <f t="shared" si="78"/>
        <v>1.417854774535809</v>
      </c>
      <c r="AX55" s="229">
        <f t="shared" si="79"/>
        <v>0.95066531837834889</v>
      </c>
      <c r="AY55" s="229">
        <f t="shared" si="80"/>
        <v>1.3</v>
      </c>
      <c r="AZ55" s="229">
        <f t="shared" si="81"/>
        <v>1.299999999999806</v>
      </c>
      <c r="BA55" s="229">
        <f t="shared" si="82"/>
        <v>1.2288711816638931</v>
      </c>
      <c r="BB55" s="229">
        <f t="shared" si="83"/>
        <v>1.3016154408326561</v>
      </c>
      <c r="BC55" s="229">
        <f t="shared" si="84"/>
        <v>0.16235705357288957</v>
      </c>
      <c r="BD55" s="229">
        <f t="shared" si="85"/>
        <v>12.473503961279699</v>
      </c>
      <c r="BF55" s="230">
        <f t="shared" si="86"/>
        <v>11.73</v>
      </c>
      <c r="BG55" s="230">
        <f t="shared" si="87"/>
        <v>6.27</v>
      </c>
      <c r="BH55" s="230">
        <f t="shared" si="88"/>
        <v>5.7358769230769227</v>
      </c>
      <c r="BI55" s="230">
        <f t="shared" si="192"/>
        <v>7.9119589743589742</v>
      </c>
      <c r="BJ55" s="230">
        <f t="shared" si="193"/>
        <v>3.3172880219290475</v>
      </c>
      <c r="BK55" s="230">
        <f t="shared" si="89"/>
        <v>41.927517984859293</v>
      </c>
      <c r="BM55" s="227">
        <f t="shared" si="90"/>
        <v>31.73</v>
      </c>
      <c r="BN55" s="227">
        <f t="shared" si="91"/>
        <v>24.599319549340521</v>
      </c>
      <c r="BO55" s="227">
        <f t="shared" si="92"/>
        <v>22.871798796496648</v>
      </c>
      <c r="BP55" s="227">
        <f t="shared" si="93"/>
        <v>24.599319549340521</v>
      </c>
      <c r="BQ55" s="227">
        <f t="shared" si="94"/>
        <v>15.17</v>
      </c>
      <c r="BR55" s="227">
        <f t="shared" si="95"/>
        <v>21.314499236433299</v>
      </c>
      <c r="BS55" s="227">
        <f t="shared" si="96"/>
        <v>19.95</v>
      </c>
      <c r="BT55" s="227">
        <f t="shared" si="194"/>
        <v>22.890705304515855</v>
      </c>
      <c r="BU55" s="227">
        <f t="shared" si="195"/>
        <v>5.0779536085110495</v>
      </c>
      <c r="BV55" s="227">
        <f t="shared" si="97"/>
        <v>22.183473776621799</v>
      </c>
      <c r="BX55" s="231">
        <f t="shared" si="98"/>
        <v>0.33458121035103638</v>
      </c>
      <c r="BY55" s="231">
        <f t="shared" si="99"/>
        <v>0.30767497821679274</v>
      </c>
      <c r="BZ55" s="231">
        <f t="shared" si="100"/>
        <v>0.3240343813921302</v>
      </c>
      <c r="CA55" s="231">
        <f t="shared" si="101"/>
        <v>0.24</v>
      </c>
      <c r="CB55" s="231">
        <f t="shared" si="102"/>
        <v>0.3694017095487877</v>
      </c>
      <c r="CC55" s="231">
        <f t="shared" si="103"/>
        <v>0.31707498485373437</v>
      </c>
      <c r="CD55" s="231">
        <f t="shared" si="104"/>
        <v>0.48</v>
      </c>
      <c r="CE55" s="231">
        <f t="shared" si="105"/>
        <v>0.45317185873225413</v>
      </c>
      <c r="CF55" s="231">
        <f t="shared" si="106"/>
        <v>0.35324239038684191</v>
      </c>
      <c r="CG55" s="231">
        <f t="shared" si="107"/>
        <v>7.9033600919010072E-2</v>
      </c>
      <c r="CH55" s="231">
        <f t="shared" si="196"/>
        <v>22.373758945651737</v>
      </c>
      <c r="CJ55" s="232">
        <f t="shared" si="108"/>
        <v>1.5076761411027415</v>
      </c>
      <c r="CK55" s="232">
        <f t="shared" si="109"/>
        <v>1.5076761411027415</v>
      </c>
      <c r="CL55" s="232">
        <f t="shared" si="110"/>
        <v>2.1</v>
      </c>
      <c r="CM55" s="232">
        <f t="shared" si="111"/>
        <v>1.8734306181697296</v>
      </c>
      <c r="CN55" s="232">
        <f t="shared" si="112"/>
        <v>1.8835446343567479</v>
      </c>
      <c r="CO55" s="232">
        <f t="shared" si="113"/>
        <v>1.5335811466890579</v>
      </c>
      <c r="CP55" s="232">
        <f t="shared" si="114"/>
        <v>1.5086258123604064</v>
      </c>
      <c r="CQ55" s="232">
        <f t="shared" si="115"/>
        <v>1.8835476302156506</v>
      </c>
      <c r="CR55" s="232">
        <f t="shared" si="116"/>
        <v>4.0232387067239967</v>
      </c>
      <c r="CS55" s="232">
        <f t="shared" si="117"/>
        <v>1.41</v>
      </c>
      <c r="CT55" s="232">
        <f t="shared" si="118"/>
        <v>1.4105515635048291</v>
      </c>
      <c r="CU55" s="232">
        <f t="shared" si="119"/>
        <v>1.8765338540205363</v>
      </c>
      <c r="CV55" s="232">
        <f t="shared" si="120"/>
        <v>0.74955086955811645</v>
      </c>
      <c r="CW55" s="232">
        <f t="shared" si="197"/>
        <v>39.943370483414341</v>
      </c>
      <c r="CY55" s="229">
        <f t="shared" si="198"/>
        <v>1.19</v>
      </c>
      <c r="CZ55" s="229">
        <f t="shared" si="199"/>
        <v>0.76196765647894171</v>
      </c>
      <c r="DA55" s="229">
        <f t="shared" si="200"/>
        <v>0.52022836839359077</v>
      </c>
      <c r="DB55" s="229">
        <f t="shared" si="201"/>
        <v>1.2002389473725146</v>
      </c>
      <c r="DC55" s="229">
        <f t="shared" si="202"/>
        <v>0.57999999999999996</v>
      </c>
      <c r="DD55" s="229">
        <f t="shared" si="203"/>
        <v>0.56212916062011942</v>
      </c>
      <c r="DE55" s="229">
        <f t="shared" si="204"/>
        <v>0.8</v>
      </c>
      <c r="DF55" s="229">
        <f t="shared" si="205"/>
        <v>0.80208059040930946</v>
      </c>
      <c r="DG55" s="229">
        <f t="shared" si="206"/>
        <v>0.28779682481205476</v>
      </c>
      <c r="DH55" s="229">
        <f t="shared" si="207"/>
        <v>35.881285278975426</v>
      </c>
      <c r="DJ55" s="234">
        <f t="shared" si="121"/>
        <v>0.11885016538825381</v>
      </c>
      <c r="DK55" s="234">
        <f t="shared" si="122"/>
        <v>0.16060833160574839</v>
      </c>
      <c r="DL55" s="234">
        <f t="shared" si="123"/>
        <v>0.11619759141526992</v>
      </c>
      <c r="DM55" s="234">
        <f t="shared" si="208"/>
        <v>0.13188536280309071</v>
      </c>
      <c r="DN55" s="234">
        <f t="shared" si="209"/>
        <v>2.4910153347568329E-2</v>
      </c>
      <c r="DO55" s="234">
        <f t="shared" si="210"/>
        <v>18.887731601239196</v>
      </c>
      <c r="DQ55" s="229">
        <f t="shared" si="124"/>
        <v>3.49</v>
      </c>
      <c r="DR55" s="229">
        <f t="shared" si="125"/>
        <v>3.8444498979134658</v>
      </c>
      <c r="DS55" s="229">
        <f t="shared" si="126"/>
        <v>3.0109623293506953</v>
      </c>
      <c r="DT55" s="229">
        <f t="shared" si="127"/>
        <v>2.6742289757895348</v>
      </c>
      <c r="DU55" s="229">
        <f t="shared" si="128"/>
        <v>3.8444498979134658</v>
      </c>
      <c r="DV55" s="229">
        <f t="shared" si="129"/>
        <v>1.97</v>
      </c>
      <c r="DW55" s="229">
        <f t="shared" si="130"/>
        <v>1.9533</v>
      </c>
      <c r="DX55" s="229">
        <f t="shared" si="131"/>
        <v>3.4981512551619809</v>
      </c>
      <c r="DY55" s="229">
        <f t="shared" si="211"/>
        <v>3.0356927945161427</v>
      </c>
      <c r="DZ55" s="229">
        <f t="shared" si="212"/>
        <v>0.77154593895526713</v>
      </c>
      <c r="EA55" s="229">
        <f t="shared" si="213"/>
        <v>25.415810860342454</v>
      </c>
      <c r="EC55" s="235">
        <f t="shared" si="132"/>
        <v>0.21462940942267153</v>
      </c>
      <c r="ED55" s="235">
        <f t="shared" si="133"/>
        <v>0.15</v>
      </c>
      <c r="EE55" s="235">
        <f t="shared" si="134"/>
        <v>0.17666916476632324</v>
      </c>
      <c r="EF55" s="235">
        <f t="shared" si="135"/>
        <v>0.1460664377588789</v>
      </c>
      <c r="EG55" s="235">
        <f t="shared" si="136"/>
        <v>0.1718412529869684</v>
      </c>
      <c r="EH55" s="235">
        <f t="shared" si="137"/>
        <v>3.1599137622190285E-2</v>
      </c>
      <c r="EI55" s="235">
        <f t="shared" si="214"/>
        <v>18.388563323957264</v>
      </c>
      <c r="EK55" s="236">
        <f t="shared" si="138"/>
        <v>20.705381659388649</v>
      </c>
      <c r="EL55" s="236">
        <f t="shared" si="139"/>
        <v>31.433168491994657</v>
      </c>
      <c r="EM55" s="236">
        <f t="shared" si="140"/>
        <v>32.107424404488924</v>
      </c>
      <c r="EN55" s="236">
        <f t="shared" si="141"/>
        <v>14.4</v>
      </c>
      <c r="EO55" s="236">
        <f t="shared" si="142"/>
        <v>30.729045671209214</v>
      </c>
      <c r="EP55" s="236">
        <f t="shared" si="143"/>
        <v>32.107424404488924</v>
      </c>
      <c r="EQ55" s="236">
        <f t="shared" si="144"/>
        <v>33.37051201234506</v>
      </c>
      <c r="ER55" s="236">
        <f t="shared" si="145"/>
        <v>27.83613666341649</v>
      </c>
      <c r="ES55" s="236">
        <f t="shared" si="146"/>
        <v>7.300708918837314</v>
      </c>
      <c r="ET55" s="236">
        <f t="shared" si="215"/>
        <v>26.227450335923365</v>
      </c>
      <c r="EV55" s="238">
        <f t="shared" si="147"/>
        <v>1.6060833160574838E-2</v>
      </c>
      <c r="EW55" s="238">
        <f t="shared" si="148"/>
        <v>1.6060833160574838E-2</v>
      </c>
      <c r="EX55" s="238" t="e">
        <f t="shared" si="149"/>
        <v>#DIV/0!</v>
      </c>
      <c r="EY55" s="238" t="e">
        <f t="shared" si="216"/>
        <v>#DIV/0!</v>
      </c>
      <c r="FA55" s="240">
        <f t="shared" si="150"/>
        <v>0.49788582797781999</v>
      </c>
      <c r="FB55" s="240">
        <f t="shared" si="151"/>
        <v>0.66893370113794204</v>
      </c>
      <c r="FC55" s="240">
        <f t="shared" si="152"/>
        <v>0.58340976455788107</v>
      </c>
      <c r="FD55" s="240">
        <f t="shared" si="153"/>
        <v>0.12094911101905845</v>
      </c>
      <c r="FE55" s="240">
        <f t="shared" si="217"/>
        <v>20.731416984547039</v>
      </c>
      <c r="FG55" s="236">
        <f t="shared" si="154"/>
        <v>1.2</v>
      </c>
      <c r="FH55" s="236">
        <f t="shared" si="155"/>
        <v>1.3845483892472328</v>
      </c>
      <c r="FI55" s="236">
        <f t="shared" si="156"/>
        <v>1.3250187357474243</v>
      </c>
      <c r="FJ55" s="236">
        <f t="shared" si="157"/>
        <v>0.92</v>
      </c>
      <c r="FK55" s="236">
        <f t="shared" si="158"/>
        <v>1.2848666528459871</v>
      </c>
      <c r="FL55" s="236">
        <f t="shared" si="159"/>
        <v>0.9</v>
      </c>
      <c r="FM55" s="236">
        <f t="shared" si="160"/>
        <v>1.1690722963067741</v>
      </c>
      <c r="FN55" s="236">
        <f t="shared" si="161"/>
        <v>0.20954760981337686</v>
      </c>
      <c r="FO55" s="236">
        <f t="shared" si="218"/>
        <v>17.924264433890055</v>
      </c>
      <c r="FQ55" s="227">
        <f t="shared" si="162"/>
        <v>0.32</v>
      </c>
      <c r="FR55" s="227">
        <f t="shared" si="163"/>
        <v>0.3471788134627013</v>
      </c>
      <c r="FS55" s="227">
        <f t="shared" si="164"/>
        <v>0.3471788134627013</v>
      </c>
      <c r="FT55" s="227">
        <f t="shared" si="165"/>
        <v>0.24</v>
      </c>
      <c r="FU55" s="227">
        <f t="shared" si="166"/>
        <v>0.33462745890057677</v>
      </c>
      <c r="FV55" s="227">
        <f t="shared" si="219"/>
        <v>0.31779701716519587</v>
      </c>
      <c r="FW55" s="227">
        <f t="shared" si="220"/>
        <v>4.4908442105901877E-2</v>
      </c>
      <c r="FX55" s="227">
        <f t="shared" si="221"/>
        <v>14.131171685150765</v>
      </c>
      <c r="FZ55" s="230">
        <f t="shared" si="167"/>
        <v>1.6863874818603581</v>
      </c>
      <c r="GA55" s="230">
        <f t="shared" si="168"/>
        <v>2.4700000000000002</v>
      </c>
      <c r="GB55" s="230">
        <f t="shared" si="169"/>
        <v>3.6112517479695532</v>
      </c>
      <c r="GC55" s="230">
        <f t="shared" si="170"/>
        <v>2.5892130766099704</v>
      </c>
      <c r="GD55" s="230">
        <f t="shared" si="171"/>
        <v>0.96795373286233788</v>
      </c>
      <c r="GE55" s="230">
        <f t="shared" si="222"/>
        <v>37.384089459708335</v>
      </c>
      <c r="GG55" s="231">
        <f t="shared" si="172"/>
        <v>0.11242583212402388</v>
      </c>
      <c r="GH55" s="231">
        <f t="shared" si="173"/>
        <v>0.05</v>
      </c>
      <c r="GI55" s="231">
        <f t="shared" si="174"/>
        <v>0.05</v>
      </c>
      <c r="GJ55" s="231">
        <f t="shared" si="175"/>
        <v>0.12463206532606075</v>
      </c>
      <c r="GK55" s="245">
        <f t="shared" si="186"/>
        <v>7.4877355108686913E-2</v>
      </c>
      <c r="GL55" s="231">
        <f t="shared" si="187"/>
        <v>4.3088843006178906E-2</v>
      </c>
      <c r="GM55" s="231">
        <f t="shared" si="223"/>
        <v>57.545893472911871</v>
      </c>
      <c r="GO55" s="246">
        <f t="shared" si="176"/>
        <v>0.18</v>
      </c>
      <c r="GP55" s="246">
        <f t="shared" si="177"/>
        <v>0.18469958134661066</v>
      </c>
      <c r="GQ55" s="247">
        <f t="shared" si="188"/>
        <v>0.18234979067330531</v>
      </c>
      <c r="GR55" s="246">
        <f t="shared" si="189"/>
        <v>3.3231058389262078E-3</v>
      </c>
      <c r="GS55" s="246">
        <f t="shared" si="224"/>
        <v>1.8223798484528158</v>
      </c>
      <c r="GU55" s="249">
        <f t="shared" si="178"/>
        <v>2.275017017195426E-2</v>
      </c>
      <c r="GV55" s="249">
        <f t="shared" si="179"/>
        <v>2.275017017195426E-2</v>
      </c>
      <c r="GW55" s="249" t="e">
        <f t="shared" si="180"/>
        <v>#DIV/0!</v>
      </c>
      <c r="GX55" s="249" t="e">
        <f t="shared" si="225"/>
        <v>#DIV/0!</v>
      </c>
      <c r="GZ55" s="240">
        <f t="shared" si="181"/>
        <v>2.4091249740862259E-2</v>
      </c>
      <c r="HA55" s="240">
        <f t="shared" si="182"/>
        <v>2.4091249740862259E-2</v>
      </c>
      <c r="HB55" s="240" t="e">
        <f t="shared" si="183"/>
        <v>#DIV/0!</v>
      </c>
      <c r="HC55" s="240" t="e">
        <f t="shared" si="226"/>
        <v>#DIV/0!</v>
      </c>
      <c r="HE55" s="234">
        <f t="shared" si="184"/>
        <v>9.513175730542027E-2</v>
      </c>
      <c r="HF55" s="234">
        <f t="shared" si="185"/>
        <v>9.513175730542027E-2</v>
      </c>
      <c r="HG55" s="251">
        <f t="shared" si="190"/>
        <v>9.513175730542027E-2</v>
      </c>
      <c r="HH55" s="234">
        <f t="shared" si="191"/>
        <v>0</v>
      </c>
      <c r="HI55" s="234">
        <f t="shared" si="227"/>
        <v>0</v>
      </c>
    </row>
    <row r="56" spans="2:217" ht="15.6" x14ac:dyDescent="0.25">
      <c r="B56">
        <v>52</v>
      </c>
      <c r="C56" s="124">
        <f t="shared" si="38"/>
        <v>80.323611641842945</v>
      </c>
      <c r="D56" s="124">
        <f t="shared" si="39"/>
        <v>174.15675552368072</v>
      </c>
      <c r="E56" s="29">
        <f t="shared" si="40"/>
        <v>2.1712949270121578</v>
      </c>
      <c r="F56" s="29">
        <f t="shared" si="41"/>
        <v>1.9849014173147981</v>
      </c>
      <c r="G56" s="29">
        <f t="shared" si="42"/>
        <v>1.9525691860170056</v>
      </c>
      <c r="H56" s="29">
        <f t="shared" si="43"/>
        <v>1.9840567784138132</v>
      </c>
      <c r="I56" s="29">
        <f t="shared" si="44"/>
        <v>2.0095976209423072</v>
      </c>
      <c r="J56" s="29">
        <f t="shared" si="45"/>
        <v>1.9840567784138132</v>
      </c>
      <c r="K56" s="29">
        <f t="shared" si="46"/>
        <v>1.9712446431610096</v>
      </c>
      <c r="L56" s="125">
        <f t="shared" si="0"/>
        <v>2.0082459073249863</v>
      </c>
      <c r="M56" s="126">
        <f t="shared" si="1"/>
        <v>7.3904210440258744E-2</v>
      </c>
      <c r="N56" s="126">
        <f t="shared" si="47"/>
        <v>3.6800378962903135</v>
      </c>
      <c r="P56" s="138">
        <f t="shared" si="48"/>
        <v>421.73164053824712</v>
      </c>
      <c r="Q56" s="138">
        <f t="shared" si="49"/>
        <v>325.79239999999999</v>
      </c>
      <c r="R56" s="138">
        <f t="shared" si="50"/>
        <v>421.73164053824712</v>
      </c>
      <c r="S56" s="138">
        <f t="shared" si="51"/>
        <v>380.12410500781925</v>
      </c>
      <c r="T56" s="138">
        <f t="shared" si="52"/>
        <v>463.56833721357003</v>
      </c>
      <c r="U56" s="138">
        <f t="shared" si="53"/>
        <v>421.73164053824712</v>
      </c>
      <c r="V56" s="138">
        <f t="shared" si="54"/>
        <v>274.95551999999992</v>
      </c>
      <c r="W56" s="138">
        <f t="shared" si="55"/>
        <v>387.09075483373289</v>
      </c>
      <c r="X56" s="138">
        <f t="shared" si="56"/>
        <v>65.611389890501286</v>
      </c>
      <c r="Y56" s="138">
        <f t="shared" si="57"/>
        <v>16.949872625783417</v>
      </c>
      <c r="AA56" s="227">
        <f t="shared" si="228"/>
        <v>0.4438603472</v>
      </c>
      <c r="AB56" s="227">
        <f t="shared" si="229"/>
        <v>0.40796511627906973</v>
      </c>
      <c r="AC56" s="227">
        <f t="shared" si="230"/>
        <v>0.47</v>
      </c>
      <c r="AD56" s="227">
        <f t="shared" si="231"/>
        <v>0.4438603472</v>
      </c>
      <c r="AE56" s="227">
        <f t="shared" si="62"/>
        <v>0.44142145266976746</v>
      </c>
      <c r="AF56" s="227">
        <f t="shared" si="63"/>
        <v>2.5481733491876501E-2</v>
      </c>
      <c r="AG56" s="227">
        <f t="shared" si="64"/>
        <v>5.772654078717756</v>
      </c>
      <c r="AI56" s="228">
        <f t="shared" si="65"/>
        <v>4.4953485136449265</v>
      </c>
      <c r="AJ56" s="228">
        <f t="shared" si="66"/>
        <v>4.4953485136449265</v>
      </c>
      <c r="AK56" s="228">
        <f t="shared" si="67"/>
        <v>4.4953485136449265</v>
      </c>
      <c r="AL56" s="228">
        <f t="shared" si="68"/>
        <v>7.2027701442957817</v>
      </c>
      <c r="AM56" s="228">
        <f t="shared" si="69"/>
        <v>4.28</v>
      </c>
      <c r="AN56" s="228">
        <f t="shared" si="70"/>
        <v>5.2210347567197912</v>
      </c>
      <c r="AO56" s="228">
        <f t="shared" si="71"/>
        <v>4.6055982202683623</v>
      </c>
      <c r="AP56" s="228">
        <f t="shared" si="72"/>
        <v>4.9707783803169594</v>
      </c>
      <c r="AQ56" s="228">
        <f t="shared" si="73"/>
        <v>1.0273791480248318</v>
      </c>
      <c r="AR56" s="228">
        <f t="shared" si="74"/>
        <v>20.668375642997816</v>
      </c>
      <c r="AT56" s="229">
        <f t="shared" si="75"/>
        <v>1.4183656870187615</v>
      </c>
      <c r="AU56" s="229">
        <f t="shared" si="76"/>
        <v>1.47</v>
      </c>
      <c r="AV56" s="229">
        <f t="shared" si="77"/>
        <v>1.3281473970893667</v>
      </c>
      <c r="AW56" s="229">
        <f t="shared" si="78"/>
        <v>1.4183656870187615</v>
      </c>
      <c r="AX56" s="229">
        <f t="shared" si="79"/>
        <v>0.96913901520436185</v>
      </c>
      <c r="AY56" s="229">
        <f t="shared" si="80"/>
        <v>1.3</v>
      </c>
      <c r="AZ56" s="229">
        <f t="shared" si="81"/>
        <v>1.2999999999998906</v>
      </c>
      <c r="BA56" s="229">
        <f t="shared" si="82"/>
        <v>1.2269190435812338</v>
      </c>
      <c r="BB56" s="229">
        <f t="shared" si="83"/>
        <v>1.3038671037390468</v>
      </c>
      <c r="BC56" s="229">
        <f t="shared" si="84"/>
        <v>0.15693644264485357</v>
      </c>
      <c r="BD56" s="229">
        <f t="shared" si="85"/>
        <v>12.036229934386204</v>
      </c>
      <c r="BF56" s="230">
        <f t="shared" si="86"/>
        <v>11.73</v>
      </c>
      <c r="BG56" s="230">
        <f t="shared" si="87"/>
        <v>6.27</v>
      </c>
      <c r="BH56" s="230">
        <f t="shared" si="88"/>
        <v>5.7186461538461542</v>
      </c>
      <c r="BI56" s="230">
        <f t="shared" si="192"/>
        <v>7.9062153846153853</v>
      </c>
      <c r="BJ56" s="230">
        <f t="shared" si="193"/>
        <v>3.3229496467079076</v>
      </c>
      <c r="BK56" s="230">
        <f t="shared" si="89"/>
        <v>42.029586661324679</v>
      </c>
      <c r="BM56" s="227">
        <f t="shared" si="90"/>
        <v>31.73</v>
      </c>
      <c r="BN56" s="227">
        <f t="shared" si="91"/>
        <v>24.613882799088124</v>
      </c>
      <c r="BO56" s="227">
        <f t="shared" si="92"/>
        <v>22.873577815069307</v>
      </c>
      <c r="BP56" s="227">
        <f t="shared" si="93"/>
        <v>24.613882799088124</v>
      </c>
      <c r="BQ56" s="227">
        <f t="shared" si="94"/>
        <v>15.17</v>
      </c>
      <c r="BR56" s="227">
        <f t="shared" si="95"/>
        <v>21.158267383642691</v>
      </c>
      <c r="BS56" s="227">
        <f t="shared" si="96"/>
        <v>19.95</v>
      </c>
      <c r="BT56" s="227">
        <f t="shared" si="194"/>
        <v>22.872801542412606</v>
      </c>
      <c r="BU56" s="227">
        <f t="shared" si="195"/>
        <v>5.0880291017920047</v>
      </c>
      <c r="BV56" s="227">
        <f t="shared" si="97"/>
        <v>22.244888070914129</v>
      </c>
      <c r="BX56" s="231">
        <f t="shared" si="98"/>
        <v>0.33484544723149345</v>
      </c>
      <c r="BY56" s="231">
        <f t="shared" si="99"/>
        <v>0.3073475622803315</v>
      </c>
      <c r="BZ56" s="231">
        <f t="shared" si="100"/>
        <v>0.32409189969709329</v>
      </c>
      <c r="CA56" s="231">
        <f t="shared" si="101"/>
        <v>0.24</v>
      </c>
      <c r="CB56" s="231">
        <f t="shared" si="102"/>
        <v>0.36949065590350777</v>
      </c>
      <c r="CC56" s="231">
        <f t="shared" si="103"/>
        <v>0.31733292680323388</v>
      </c>
      <c r="CD56" s="231">
        <f t="shared" si="104"/>
        <v>0.48</v>
      </c>
      <c r="CE56" s="231">
        <f t="shared" si="105"/>
        <v>0.45366532193354958</v>
      </c>
      <c r="CF56" s="231">
        <f t="shared" si="106"/>
        <v>0.35334672673115114</v>
      </c>
      <c r="CG56" s="231">
        <f t="shared" si="107"/>
        <v>7.9123807367426774E-2</v>
      </c>
      <c r="CH56" s="231">
        <f t="shared" si="196"/>
        <v>22.392681573538177</v>
      </c>
      <c r="CJ56" s="232">
        <f t="shared" si="108"/>
        <v>1.5085143015573241</v>
      </c>
      <c r="CK56" s="232">
        <f t="shared" si="109"/>
        <v>1.5085143015573241</v>
      </c>
      <c r="CL56" s="232">
        <f t="shared" si="110"/>
        <v>2.1</v>
      </c>
      <c r="CM56" s="232">
        <f t="shared" si="111"/>
        <v>1.8736150474259805</v>
      </c>
      <c r="CN56" s="232">
        <f t="shared" si="112"/>
        <v>1.8810261988683306</v>
      </c>
      <c r="CO56" s="232">
        <f t="shared" si="113"/>
        <v>1.533870799939423</v>
      </c>
      <c r="CP56" s="232">
        <f t="shared" si="114"/>
        <v>1.5094645007645076</v>
      </c>
      <c r="CQ56" s="232">
        <f t="shared" si="115"/>
        <v>1.8839811998705707</v>
      </c>
      <c r="CR56" s="232">
        <f t="shared" si="116"/>
        <v>4.0242129432563312</v>
      </c>
      <c r="CS56" s="232">
        <f t="shared" si="117"/>
        <v>1.41</v>
      </c>
      <c r="CT56" s="232">
        <f t="shared" si="118"/>
        <v>1.4114690268268173</v>
      </c>
      <c r="CU56" s="232">
        <f t="shared" si="119"/>
        <v>1.8767880290969645</v>
      </c>
      <c r="CV56" s="232">
        <f t="shared" si="120"/>
        <v>0.74963456649235005</v>
      </c>
      <c r="CW56" s="232">
        <f t="shared" si="197"/>
        <v>39.942420500893981</v>
      </c>
      <c r="CY56" s="229">
        <f t="shared" si="198"/>
        <v>1.19</v>
      </c>
      <c r="CZ56" s="229">
        <f t="shared" si="199"/>
        <v>0.76387677902010576</v>
      </c>
      <c r="DA56" s="229">
        <f t="shared" si="200"/>
        <v>0.52073722177895598</v>
      </c>
      <c r="DB56" s="229">
        <f t="shared" si="201"/>
        <v>1.2004585188211518</v>
      </c>
      <c r="DC56" s="229">
        <f t="shared" si="202"/>
        <v>0.57999999999999996</v>
      </c>
      <c r="DD56" s="229">
        <f t="shared" si="203"/>
        <v>0.56226528149290067</v>
      </c>
      <c r="DE56" s="229">
        <f t="shared" si="204"/>
        <v>0.8</v>
      </c>
      <c r="DF56" s="229">
        <f t="shared" si="205"/>
        <v>0.8024768287304449</v>
      </c>
      <c r="DG56" s="229">
        <f t="shared" si="206"/>
        <v>0.28770194800344429</v>
      </c>
      <c r="DH56" s="229">
        <f t="shared" si="207"/>
        <v>35.851745209715517</v>
      </c>
      <c r="DJ56" s="234">
        <f t="shared" si="121"/>
        <v>0.11887894522992756</v>
      </c>
      <c r="DK56" s="234">
        <f t="shared" si="122"/>
        <v>0.16064722328368589</v>
      </c>
      <c r="DL56" s="234">
        <f t="shared" si="123"/>
        <v>0.11629620987080441</v>
      </c>
      <c r="DM56" s="234">
        <f t="shared" si="208"/>
        <v>0.13194079279480594</v>
      </c>
      <c r="DN56" s="234">
        <f t="shared" si="209"/>
        <v>2.4894015225420986E-2</v>
      </c>
      <c r="DO56" s="234">
        <f t="shared" si="210"/>
        <v>18.867565290543698</v>
      </c>
      <c r="DQ56" s="229">
        <f t="shared" si="124"/>
        <v>3.49</v>
      </c>
      <c r="DR56" s="229">
        <f t="shared" si="125"/>
        <v>3.8462495153609964</v>
      </c>
      <c r="DS56" s="229">
        <f t="shared" si="126"/>
        <v>3.0123688609874795</v>
      </c>
      <c r="DT56" s="229">
        <f t="shared" si="127"/>
        <v>2.6747452716295328</v>
      </c>
      <c r="DU56" s="229">
        <f t="shared" si="128"/>
        <v>3.8462495153609964</v>
      </c>
      <c r="DV56" s="229">
        <f t="shared" si="129"/>
        <v>1.97</v>
      </c>
      <c r="DW56" s="229">
        <f t="shared" si="130"/>
        <v>1.9916</v>
      </c>
      <c r="DX56" s="229">
        <f t="shared" si="131"/>
        <v>3.5035348783058229</v>
      </c>
      <c r="DY56" s="229">
        <f t="shared" si="211"/>
        <v>3.0418435052056028</v>
      </c>
      <c r="DZ56" s="229">
        <f t="shared" si="212"/>
        <v>0.76491185428633124</v>
      </c>
      <c r="EA56" s="229">
        <f t="shared" si="213"/>
        <v>25.146325015646383</v>
      </c>
      <c r="EC56" s="235">
        <f t="shared" si="132"/>
        <v>0.2146726823119039</v>
      </c>
      <c r="ED56" s="235">
        <f t="shared" si="133"/>
        <v>0.15</v>
      </c>
      <c r="EE56" s="235">
        <f t="shared" si="134"/>
        <v>0.1767119456120545</v>
      </c>
      <c r="EF56" s="235">
        <f t="shared" si="135"/>
        <v>0.14618199164178697</v>
      </c>
      <c r="EG56" s="235">
        <f t="shared" si="136"/>
        <v>0.17189165489143632</v>
      </c>
      <c r="EH56" s="235">
        <f t="shared" si="137"/>
        <v>3.1589464742105694E-2</v>
      </c>
      <c r="EI56" s="235">
        <f t="shared" si="214"/>
        <v>18.377544135029144</v>
      </c>
      <c r="EK56" s="236">
        <f t="shared" si="138"/>
        <v>20.705381659388649</v>
      </c>
      <c r="EL56" s="236">
        <f t="shared" si="139"/>
        <v>31.461108545843572</v>
      </c>
      <c r="EM56" s="236">
        <f t="shared" si="140"/>
        <v>32.135963785335619</v>
      </c>
      <c r="EN56" s="236">
        <f t="shared" si="141"/>
        <v>14.4</v>
      </c>
      <c r="EO56" s="236">
        <f t="shared" si="142"/>
        <v>30.831973663945668</v>
      </c>
      <c r="EP56" s="236">
        <f t="shared" si="143"/>
        <v>32.135963785335619</v>
      </c>
      <c r="EQ56" s="236">
        <f t="shared" si="144"/>
        <v>33.387039696824012</v>
      </c>
      <c r="ER56" s="236">
        <f t="shared" si="145"/>
        <v>27.865347305239023</v>
      </c>
      <c r="ES56" s="236">
        <f t="shared" si="146"/>
        <v>7.3175186374834382</v>
      </c>
      <c r="ET56" s="236">
        <f t="shared" si="215"/>
        <v>26.260281479095926</v>
      </c>
      <c r="EV56" s="238">
        <f t="shared" si="147"/>
        <v>1.6064722328368589E-2</v>
      </c>
      <c r="EW56" s="238">
        <f t="shared" si="148"/>
        <v>1.6064722328368589E-2</v>
      </c>
      <c r="EX56" s="238" t="e">
        <f t="shared" si="149"/>
        <v>#DIV/0!</v>
      </c>
      <c r="EY56" s="238" t="e">
        <f t="shared" si="216"/>
        <v>#DIV/0!</v>
      </c>
      <c r="FA56" s="240">
        <f t="shared" si="150"/>
        <v>0.49800639217942622</v>
      </c>
      <c r="FB56" s="240">
        <f t="shared" si="151"/>
        <v>0.66909568497655181</v>
      </c>
      <c r="FC56" s="240">
        <f t="shared" si="152"/>
        <v>0.58355103857798896</v>
      </c>
      <c r="FD56" s="240">
        <f t="shared" si="153"/>
        <v>0.12097839912525861</v>
      </c>
      <c r="FE56" s="240">
        <f t="shared" si="217"/>
        <v>20.731416984547167</v>
      </c>
      <c r="FG56" s="236">
        <f t="shared" si="154"/>
        <v>1.2</v>
      </c>
      <c r="FH56" s="236">
        <f t="shared" si="155"/>
        <v>1.3841532916819794</v>
      </c>
      <c r="FI56" s="236">
        <f t="shared" si="156"/>
        <v>1.3253395920904087</v>
      </c>
      <c r="FJ56" s="236">
        <f t="shared" si="157"/>
        <v>0.92</v>
      </c>
      <c r="FK56" s="236">
        <f t="shared" si="158"/>
        <v>1.2851777862694871</v>
      </c>
      <c r="FL56" s="236">
        <f t="shared" si="159"/>
        <v>0.9</v>
      </c>
      <c r="FM56" s="236">
        <f t="shared" si="160"/>
        <v>1.1691117783403127</v>
      </c>
      <c r="FN56" s="236">
        <f t="shared" si="161"/>
        <v>0.2095486626216834</v>
      </c>
      <c r="FO56" s="236">
        <f t="shared" si="218"/>
        <v>17.923749166154291</v>
      </c>
      <c r="FQ56" s="227">
        <f t="shared" si="162"/>
        <v>0.32</v>
      </c>
      <c r="FR56" s="227">
        <f t="shared" si="163"/>
        <v>0.34746261859088973</v>
      </c>
      <c r="FS56" s="227">
        <f t="shared" si="164"/>
        <v>0.34746261859088973</v>
      </c>
      <c r="FT56" s="227">
        <f t="shared" si="165"/>
        <v>0.24</v>
      </c>
      <c r="FU56" s="227">
        <f t="shared" si="166"/>
        <v>0.33470848971155953</v>
      </c>
      <c r="FV56" s="227">
        <f t="shared" si="219"/>
        <v>0.31792674537866777</v>
      </c>
      <c r="FW56" s="227">
        <f t="shared" si="220"/>
        <v>4.5008995172376824E-2</v>
      </c>
      <c r="FX56" s="227">
        <f t="shared" si="221"/>
        <v>14.157033287265186</v>
      </c>
      <c r="FZ56" s="230">
        <f t="shared" si="167"/>
        <v>1.6867958444787019</v>
      </c>
      <c r="GA56" s="230">
        <f t="shared" si="168"/>
        <v>2.4700000000000002</v>
      </c>
      <c r="GB56" s="230">
        <f t="shared" si="169"/>
        <v>3.6124360147821375</v>
      </c>
      <c r="GC56" s="230">
        <f t="shared" si="170"/>
        <v>2.5897439530869466</v>
      </c>
      <c r="GD56" s="230">
        <f t="shared" si="171"/>
        <v>0.96838859818630085</v>
      </c>
      <c r="GE56" s="230">
        <f t="shared" si="222"/>
        <v>37.393217851980779</v>
      </c>
      <c r="GG56" s="231">
        <f t="shared" si="172"/>
        <v>0.11245305629858011</v>
      </c>
      <c r="GH56" s="231">
        <f t="shared" si="173"/>
        <v>0.05</v>
      </c>
      <c r="GI56" s="231">
        <f t="shared" si="174"/>
        <v>0.05</v>
      </c>
      <c r="GJ56" s="231">
        <f t="shared" si="175"/>
        <v>0.12466224526814025</v>
      </c>
      <c r="GK56" s="245">
        <f t="shared" si="186"/>
        <v>7.4887415089380086E-2</v>
      </c>
      <c r="GL56" s="231">
        <f t="shared" si="187"/>
        <v>4.3106267403862621E-2</v>
      </c>
      <c r="GM56" s="231">
        <f t="shared" si="223"/>
        <v>57.561430518618074</v>
      </c>
      <c r="GO56" s="246">
        <f t="shared" si="176"/>
        <v>0.18</v>
      </c>
      <c r="GP56" s="246">
        <f t="shared" si="177"/>
        <v>0.18474430677623876</v>
      </c>
      <c r="GQ56" s="247">
        <f t="shared" si="188"/>
        <v>0.18237215338811938</v>
      </c>
      <c r="GR56" s="246">
        <f t="shared" si="189"/>
        <v>3.3547314935077235E-3</v>
      </c>
      <c r="GS56" s="246">
        <f t="shared" si="224"/>
        <v>1.8394976596938439</v>
      </c>
      <c r="GU56" s="249">
        <f t="shared" si="178"/>
        <v>2.2755679178134106E-2</v>
      </c>
      <c r="GV56" s="249">
        <f t="shared" si="179"/>
        <v>2.2755679178134106E-2</v>
      </c>
      <c r="GW56" s="249" t="e">
        <f t="shared" si="180"/>
        <v>#DIV/0!</v>
      </c>
      <c r="GX56" s="249" t="e">
        <f t="shared" si="225"/>
        <v>#DIV/0!</v>
      </c>
      <c r="GZ56" s="240">
        <f t="shared" si="181"/>
        <v>2.4097083492552886E-2</v>
      </c>
      <c r="HA56" s="240">
        <f t="shared" si="182"/>
        <v>2.4097083492552886E-2</v>
      </c>
      <c r="HB56" s="240" t="e">
        <f t="shared" si="183"/>
        <v>#DIV/0!</v>
      </c>
      <c r="HC56" s="240" t="e">
        <f t="shared" si="226"/>
        <v>#DIV/0!</v>
      </c>
      <c r="HE56" s="234">
        <f t="shared" si="184"/>
        <v>9.5154897853793094E-2</v>
      </c>
      <c r="HF56" s="234">
        <f t="shared" si="185"/>
        <v>9.5154897853793094E-2</v>
      </c>
      <c r="HG56" s="251">
        <f t="shared" si="190"/>
        <v>9.5154897853793094E-2</v>
      </c>
      <c r="HH56" s="234">
        <f t="shared" si="191"/>
        <v>0</v>
      </c>
      <c r="HI56" s="234">
        <f t="shared" si="227"/>
        <v>0</v>
      </c>
    </row>
    <row r="57" spans="2:217" ht="15.6" x14ac:dyDescent="0.25">
      <c r="B57">
        <v>53</v>
      </c>
      <c r="C57" s="124">
        <f t="shared" si="38"/>
        <v>80.345512742465871</v>
      </c>
      <c r="D57" s="124">
        <f t="shared" si="39"/>
        <v>174.28056319190119</v>
      </c>
      <c r="E57" s="29">
        <f t="shared" si="40"/>
        <v>2.172346169560091</v>
      </c>
      <c r="F57" s="29">
        <f t="shared" si="41"/>
        <v>1.9857755489221209</v>
      </c>
      <c r="G57" s="29">
        <f t="shared" si="42"/>
        <v>1.9538018079393586</v>
      </c>
      <c r="H57" s="29">
        <f t="shared" si="43"/>
        <v>1.9849305380502391</v>
      </c>
      <c r="I57" s="29">
        <f t="shared" si="44"/>
        <v>2.0104825115669542</v>
      </c>
      <c r="J57" s="29">
        <f t="shared" si="45"/>
        <v>1.9849305380502393</v>
      </c>
      <c r="K57" s="29">
        <f t="shared" si="46"/>
        <v>1.9722140132559303</v>
      </c>
      <c r="L57" s="125">
        <f t="shared" si="0"/>
        <v>2.0092115896207048</v>
      </c>
      <c r="M57" s="126">
        <f t="shared" si="1"/>
        <v>7.3916572241724085E-2</v>
      </c>
      <c r="N57" s="126">
        <f t="shared" si="47"/>
        <v>3.6788844252923067</v>
      </c>
      <c r="P57" s="138">
        <f t="shared" si="48"/>
        <v>421.93443382034798</v>
      </c>
      <c r="Q57" s="138">
        <f t="shared" si="49"/>
        <v>325.79239999999999</v>
      </c>
      <c r="R57" s="138">
        <f t="shared" si="50"/>
        <v>421.93443382034798</v>
      </c>
      <c r="S57" s="138">
        <f t="shared" si="51"/>
        <v>378.88370283993214</v>
      </c>
      <c r="T57" s="138">
        <f t="shared" si="52"/>
        <v>463.66711346134889</v>
      </c>
      <c r="U57" s="138">
        <f t="shared" si="53"/>
        <v>421.93443382034798</v>
      </c>
      <c r="V57" s="138">
        <f t="shared" si="54"/>
        <v>273.24341999999996</v>
      </c>
      <c r="W57" s="138">
        <f t="shared" si="55"/>
        <v>386.76999110890353</v>
      </c>
      <c r="X57" s="138">
        <f t="shared" si="56"/>
        <v>66.196077461278591</v>
      </c>
      <c r="Y57" s="138">
        <f t="shared" si="57"/>
        <v>17.115101735656541</v>
      </c>
      <c r="AA57" s="227">
        <f t="shared" si="228"/>
        <v>0.44324364954999995</v>
      </c>
      <c r="AB57" s="227">
        <f t="shared" si="229"/>
        <v>0.40812091503267972</v>
      </c>
      <c r="AC57" s="227">
        <f t="shared" si="230"/>
        <v>0.47</v>
      </c>
      <c r="AD57" s="227">
        <f t="shared" si="231"/>
        <v>0.44324364954999995</v>
      </c>
      <c r="AE57" s="227">
        <f t="shared" si="62"/>
        <v>0.44115205353316989</v>
      </c>
      <c r="AF57" s="227">
        <f t="shared" si="63"/>
        <v>2.5377218614253853E-2</v>
      </c>
      <c r="AG57" s="227">
        <f t="shared" si="64"/>
        <v>5.7524879258769586</v>
      </c>
      <c r="AI57" s="228">
        <f t="shared" si="65"/>
        <v>4.4979603220413908</v>
      </c>
      <c r="AJ57" s="228">
        <f t="shared" si="66"/>
        <v>4.4979603220413908</v>
      </c>
      <c r="AK57" s="228">
        <f t="shared" si="67"/>
        <v>4.4979603220413908</v>
      </c>
      <c r="AL57" s="228">
        <f t="shared" si="68"/>
        <v>7.2047334417082398</v>
      </c>
      <c r="AM57" s="228">
        <f t="shared" si="69"/>
        <v>4.28</v>
      </c>
      <c r="AN57" s="228">
        <f t="shared" si="70"/>
        <v>5.2224583282602817</v>
      </c>
      <c r="AO57" s="228">
        <f t="shared" si="71"/>
        <v>4.6080215362179953</v>
      </c>
      <c r="AP57" s="228">
        <f t="shared" si="72"/>
        <v>4.9727277531872414</v>
      </c>
      <c r="AQ57" s="228">
        <f t="shared" si="73"/>
        <v>1.0274003974010315</v>
      </c>
      <c r="AR57" s="228">
        <f t="shared" si="74"/>
        <v>20.660700693749522</v>
      </c>
      <c r="AT57" s="229">
        <f t="shared" si="75"/>
        <v>1.4188577815626995</v>
      </c>
      <c r="AU57" s="229">
        <f t="shared" si="76"/>
        <v>1.47</v>
      </c>
      <c r="AV57" s="229">
        <f t="shared" si="77"/>
        <v>1.3286098742684902</v>
      </c>
      <c r="AW57" s="229">
        <f t="shared" si="78"/>
        <v>1.4188577815626995</v>
      </c>
      <c r="AX57" s="229">
        <f t="shared" si="79"/>
        <v>0.98758502590701502</v>
      </c>
      <c r="AY57" s="229">
        <f t="shared" si="80"/>
        <v>1.3</v>
      </c>
      <c r="AZ57" s="229">
        <f t="shared" si="81"/>
        <v>1.2999999999999383</v>
      </c>
      <c r="BA57" s="229">
        <f t="shared" si="82"/>
        <v>1.2249700065909839</v>
      </c>
      <c r="BB57" s="229">
        <f t="shared" si="83"/>
        <v>1.3061100587364785</v>
      </c>
      <c r="BC57" s="229">
        <f t="shared" si="84"/>
        <v>0.15161361736242607</v>
      </c>
      <c r="BD57" s="229">
        <f t="shared" si="85"/>
        <v>11.608027696310371</v>
      </c>
      <c r="BF57" s="230">
        <f t="shared" si="86"/>
        <v>11.73</v>
      </c>
      <c r="BG57" s="230">
        <f t="shared" si="87"/>
        <v>6.27</v>
      </c>
      <c r="BH57" s="230">
        <f t="shared" si="88"/>
        <v>5.7014153846153848</v>
      </c>
      <c r="BI57" s="230">
        <f t="shared" si="192"/>
        <v>7.9004717948717946</v>
      </c>
      <c r="BJ57" s="230">
        <f t="shared" si="193"/>
        <v>3.3286313736455329</v>
      </c>
      <c r="BK57" s="230">
        <f t="shared" si="89"/>
        <v>42.132058186780071</v>
      </c>
      <c r="BM57" s="227">
        <f t="shared" si="90"/>
        <v>31.73</v>
      </c>
      <c r="BN57" s="227">
        <f t="shared" si="91"/>
        <v>24.628930305364314</v>
      </c>
      <c r="BO57" s="227">
        <f t="shared" si="92"/>
        <v>22.875580256434702</v>
      </c>
      <c r="BP57" s="227">
        <f t="shared" si="93"/>
        <v>24.628930305364314</v>
      </c>
      <c r="BQ57" s="227">
        <f t="shared" si="94"/>
        <v>15.17</v>
      </c>
      <c r="BR57" s="227">
        <f t="shared" si="95"/>
        <v>20.996674364359922</v>
      </c>
      <c r="BS57" s="227">
        <f t="shared" si="96"/>
        <v>19.95</v>
      </c>
      <c r="BT57" s="227">
        <f t="shared" si="194"/>
        <v>22.854302175931888</v>
      </c>
      <c r="BU57" s="227">
        <f t="shared" si="195"/>
        <v>5.0992046236464645</v>
      </c>
      <c r="BV57" s="227">
        <f t="shared" si="97"/>
        <v>22.311793133708068</v>
      </c>
      <c r="BX57" s="231">
        <f t="shared" si="98"/>
        <v>0.33511421106437878</v>
      </c>
      <c r="BY57" s="231">
        <f t="shared" si="99"/>
        <v>0.30702876799516893</v>
      </c>
      <c r="BZ57" s="231">
        <f t="shared" si="100"/>
        <v>0.32415669243572204</v>
      </c>
      <c r="CA57" s="231">
        <f t="shared" si="101"/>
        <v>0.24</v>
      </c>
      <c r="CB57" s="231">
        <f t="shared" si="102"/>
        <v>0.36959099644868215</v>
      </c>
      <c r="CC57" s="231">
        <f t="shared" si="103"/>
        <v>0.31759493880338763</v>
      </c>
      <c r="CD57" s="231">
        <f t="shared" si="104"/>
        <v>0.48</v>
      </c>
      <c r="CE57" s="231">
        <f t="shared" si="105"/>
        <v>0.45415705309434995</v>
      </c>
      <c r="CF57" s="231">
        <f t="shared" si="106"/>
        <v>0.3534553324802111</v>
      </c>
      <c r="CG57" s="231">
        <f t="shared" si="107"/>
        <v>7.9213150333251964E-2</v>
      </c>
      <c r="CH57" s="231">
        <f t="shared" si="196"/>
        <v>22.411078021488574</v>
      </c>
      <c r="CJ57" s="232">
        <f t="shared" si="108"/>
        <v>1.5093774851759436</v>
      </c>
      <c r="CK57" s="232">
        <f t="shared" si="109"/>
        <v>1.5093774851759436</v>
      </c>
      <c r="CL57" s="232">
        <f t="shared" si="110"/>
        <v>2.1</v>
      </c>
      <c r="CM57" s="232">
        <f t="shared" si="111"/>
        <v>1.8738875386264331</v>
      </c>
      <c r="CN57" s="232">
        <f t="shared" si="112"/>
        <v>1.8785699932141686</v>
      </c>
      <c r="CO57" s="232">
        <f t="shared" si="113"/>
        <v>1.534197006785295</v>
      </c>
      <c r="CP57" s="232">
        <f t="shared" si="114"/>
        <v>1.5103282280945054</v>
      </c>
      <c r="CQ57" s="232">
        <f t="shared" si="115"/>
        <v>1.884469460991425</v>
      </c>
      <c r="CR57" s="232">
        <f t="shared" si="116"/>
        <v>4.0253101883975404</v>
      </c>
      <c r="CS57" s="232">
        <f t="shared" si="117"/>
        <v>1.41</v>
      </c>
      <c r="CT57" s="232">
        <f t="shared" si="118"/>
        <v>1.412399686122874</v>
      </c>
      <c r="CU57" s="232">
        <f t="shared" si="119"/>
        <v>1.8770833702349208</v>
      </c>
      <c r="CV57" s="232">
        <f t="shared" si="120"/>
        <v>0.74974867076862817</v>
      </c>
      <c r="CW57" s="232">
        <f t="shared" si="197"/>
        <v>39.942214749619545</v>
      </c>
      <c r="CY57" s="229">
        <f t="shared" si="198"/>
        <v>1.19</v>
      </c>
      <c r="CZ57" s="229">
        <f t="shared" si="199"/>
        <v>0.76583253364636328</v>
      </c>
      <c r="DA57" s="229">
        <f t="shared" si="200"/>
        <v>0.52124417174721882</v>
      </c>
      <c r="DB57" s="229">
        <f t="shared" si="201"/>
        <v>1.2007057724977019</v>
      </c>
      <c r="DC57" s="229">
        <f t="shared" si="202"/>
        <v>0.57999999999999996</v>
      </c>
      <c r="DD57" s="229">
        <f t="shared" si="203"/>
        <v>0.56241858919726107</v>
      </c>
      <c r="DE57" s="229">
        <f t="shared" si="204"/>
        <v>0.8</v>
      </c>
      <c r="DF57" s="229">
        <f t="shared" si="205"/>
        <v>0.80288586672693485</v>
      </c>
      <c r="DG57" s="229">
        <f t="shared" si="206"/>
        <v>0.28761199929377157</v>
      </c>
      <c r="DH57" s="229">
        <f t="shared" si="207"/>
        <v>35.822277015070405</v>
      </c>
      <c r="DJ57" s="234">
        <f t="shared" si="121"/>
        <v>0.11891135885884949</v>
      </c>
      <c r="DK57" s="234">
        <f t="shared" si="122"/>
        <v>0.16069102548493175</v>
      </c>
      <c r="DL57" s="234">
        <f t="shared" si="123"/>
        <v>0.11639644413043772</v>
      </c>
      <c r="DM57" s="234">
        <f t="shared" si="208"/>
        <v>0.13199960949140632</v>
      </c>
      <c r="DN57" s="234">
        <f t="shared" si="209"/>
        <v>2.4879292851846424E-2</v>
      </c>
      <c r="DO57" s="234">
        <f t="shared" si="210"/>
        <v>18.848004890094892</v>
      </c>
      <c r="DQ57" s="229">
        <f t="shared" si="124"/>
        <v>3.49</v>
      </c>
      <c r="DR57" s="229">
        <f t="shared" si="125"/>
        <v>3.8481028620483211</v>
      </c>
      <c r="DS57" s="229">
        <f t="shared" si="126"/>
        <v>3.0138173844310572</v>
      </c>
      <c r="DT57" s="229">
        <f t="shared" si="127"/>
        <v>2.6753268468606914</v>
      </c>
      <c r="DU57" s="229">
        <f t="shared" si="128"/>
        <v>3.8481028620483211</v>
      </c>
      <c r="DV57" s="229">
        <f t="shared" si="129"/>
        <v>1.97</v>
      </c>
      <c r="DW57" s="229">
        <f t="shared" si="130"/>
        <v>2.0299</v>
      </c>
      <c r="DX57" s="229">
        <f t="shared" si="131"/>
        <v>3.5090878889805621</v>
      </c>
      <c r="DY57" s="229">
        <f t="shared" si="211"/>
        <v>3.0480422305461192</v>
      </c>
      <c r="DZ57" s="229">
        <f t="shared" si="212"/>
        <v>0.7584721999888</v>
      </c>
      <c r="EA57" s="229">
        <f t="shared" si="213"/>
        <v>24.883913759059176</v>
      </c>
      <c r="EC57" s="235">
        <f t="shared" si="132"/>
        <v>0.21472141385907048</v>
      </c>
      <c r="ED57" s="235">
        <f t="shared" si="133"/>
        <v>0.15</v>
      </c>
      <c r="EE57" s="235">
        <f t="shared" si="134"/>
        <v>0.17676012803342492</v>
      </c>
      <c r="EF57" s="235">
        <f t="shared" si="135"/>
        <v>0.14629943880558877</v>
      </c>
      <c r="EG57" s="235">
        <f t="shared" si="136"/>
        <v>0.17194524517452103</v>
      </c>
      <c r="EH57" s="235">
        <f t="shared" si="137"/>
        <v>3.1582088142683096E-2</v>
      </c>
      <c r="EI57" s="235">
        <f t="shared" si="214"/>
        <v>18.367526307940587</v>
      </c>
      <c r="EK57" s="236">
        <f t="shared" si="138"/>
        <v>20.705381659388649</v>
      </c>
      <c r="EL57" s="236">
        <f t="shared" si="139"/>
        <v>31.490708047852308</v>
      </c>
      <c r="EM57" s="236">
        <f t="shared" si="140"/>
        <v>32.166198210267929</v>
      </c>
      <c r="EN57" s="236">
        <f t="shared" si="141"/>
        <v>14.4</v>
      </c>
      <c r="EO57" s="236">
        <f t="shared" si="142"/>
        <v>30.936301905565536</v>
      </c>
      <c r="EP57" s="236">
        <f t="shared" si="143"/>
        <v>32.166198210267929</v>
      </c>
      <c r="EQ57" s="236">
        <f t="shared" si="144"/>
        <v>33.405656342909765</v>
      </c>
      <c r="ER57" s="236">
        <f t="shared" si="145"/>
        <v>27.895777768036019</v>
      </c>
      <c r="ES57" s="236">
        <f t="shared" si="146"/>
        <v>7.3352785442206612</v>
      </c>
      <c r="ET57" s="236">
        <f t="shared" si="215"/>
        <v>26.295300332603329</v>
      </c>
      <c r="EV57" s="238">
        <f t="shared" si="147"/>
        <v>1.6069102548493176E-2</v>
      </c>
      <c r="EW57" s="238">
        <f t="shared" si="148"/>
        <v>1.6069102548493176E-2</v>
      </c>
      <c r="EX57" s="238" t="e">
        <f t="shared" si="149"/>
        <v>#DIV/0!</v>
      </c>
      <c r="EY57" s="238" t="e">
        <f t="shared" si="216"/>
        <v>#DIV/0!</v>
      </c>
      <c r="FA57" s="240">
        <f t="shared" si="150"/>
        <v>0.49814217900328839</v>
      </c>
      <c r="FB57" s="240">
        <f t="shared" si="151"/>
        <v>0.66927812114474072</v>
      </c>
      <c r="FC57" s="240">
        <f t="shared" si="152"/>
        <v>0.5837101500740145</v>
      </c>
      <c r="FD57" s="240">
        <f t="shared" si="153"/>
        <v>0.12101138519296993</v>
      </c>
      <c r="FE57" s="240">
        <f t="shared" si="217"/>
        <v>20.731416984547156</v>
      </c>
      <c r="FG57" s="236">
        <f t="shared" si="154"/>
        <v>1.2</v>
      </c>
      <c r="FH57" s="236">
        <f t="shared" si="155"/>
        <v>1.3837860618206927</v>
      </c>
      <c r="FI57" s="236">
        <f t="shared" si="156"/>
        <v>1.3257009602506868</v>
      </c>
      <c r="FJ57" s="236">
        <f t="shared" si="157"/>
        <v>0.92</v>
      </c>
      <c r="FK57" s="236">
        <f t="shared" si="158"/>
        <v>1.285528203879454</v>
      </c>
      <c r="FL57" s="236">
        <f t="shared" si="159"/>
        <v>0.9</v>
      </c>
      <c r="FM57" s="236">
        <f t="shared" si="160"/>
        <v>1.1691692043251389</v>
      </c>
      <c r="FN57" s="236">
        <f t="shared" si="161"/>
        <v>0.20956616798265806</v>
      </c>
      <c r="FO57" s="236">
        <f t="shared" si="218"/>
        <v>17.924366054751044</v>
      </c>
      <c r="FQ57" s="227">
        <f t="shared" si="162"/>
        <v>0.32</v>
      </c>
      <c r="FR57" s="227">
        <f t="shared" si="163"/>
        <v>0.34775124044860911</v>
      </c>
      <c r="FS57" s="227">
        <f t="shared" si="164"/>
        <v>0.34775124044860911</v>
      </c>
      <c r="FT57" s="227">
        <f t="shared" si="165"/>
        <v>0.24</v>
      </c>
      <c r="FU57" s="227">
        <f t="shared" si="166"/>
        <v>0.33479975159785524</v>
      </c>
      <c r="FV57" s="227">
        <f t="shared" si="219"/>
        <v>0.31806044649901466</v>
      </c>
      <c r="FW57" s="227">
        <f t="shared" si="220"/>
        <v>4.5112320937066214E-2</v>
      </c>
      <c r="FX57" s="227">
        <f t="shared" si="221"/>
        <v>14.183568385704939</v>
      </c>
      <c r="FZ57" s="230">
        <f t="shared" si="167"/>
        <v>1.6872557675917834</v>
      </c>
      <c r="GA57" s="230">
        <f t="shared" si="168"/>
        <v>2.4700000000000002</v>
      </c>
      <c r="GB57" s="230">
        <f t="shared" si="169"/>
        <v>3.6136914595215677</v>
      </c>
      <c r="GC57" s="230">
        <f t="shared" si="170"/>
        <v>2.5903157423711169</v>
      </c>
      <c r="GD57" s="230">
        <f t="shared" si="171"/>
        <v>0.96883720365290615</v>
      </c>
      <c r="GE57" s="230">
        <f t="shared" si="222"/>
        <v>37.402282193060152</v>
      </c>
      <c r="GG57" s="231">
        <f t="shared" si="172"/>
        <v>0.11248371783945221</v>
      </c>
      <c r="GH57" s="231">
        <f t="shared" si="173"/>
        <v>0.05</v>
      </c>
      <c r="GI57" s="231">
        <f t="shared" si="174"/>
        <v>0.05</v>
      </c>
      <c r="GJ57" s="231">
        <f t="shared" si="175"/>
        <v>0.12469623577630704</v>
      </c>
      <c r="GK57" s="245">
        <f t="shared" si="186"/>
        <v>7.4898745258769009E-2</v>
      </c>
      <c r="GL57" s="231">
        <f t="shared" si="187"/>
        <v>4.3125891832902621E-2</v>
      </c>
      <c r="GM57" s="231">
        <f t="shared" si="223"/>
        <v>57.578924298272568</v>
      </c>
      <c r="GO57" s="246">
        <f t="shared" si="176"/>
        <v>0.18</v>
      </c>
      <c r="GP57" s="246">
        <f t="shared" si="177"/>
        <v>0.18479467930767149</v>
      </c>
      <c r="GQ57" s="247">
        <f t="shared" si="188"/>
        <v>0.18239733965383575</v>
      </c>
      <c r="GR57" s="246">
        <f t="shared" si="189"/>
        <v>3.3903502520693353E-3</v>
      </c>
      <c r="GS57" s="246">
        <f t="shared" si="224"/>
        <v>1.8587717663556598</v>
      </c>
      <c r="GU57" s="249">
        <f t="shared" si="178"/>
        <v>2.2761883759940583E-2</v>
      </c>
      <c r="GV57" s="249">
        <f t="shared" si="179"/>
        <v>2.2761883759940583E-2</v>
      </c>
      <c r="GW57" s="249" t="e">
        <f t="shared" si="180"/>
        <v>#DIV/0!</v>
      </c>
      <c r="GX57" s="249" t="e">
        <f t="shared" si="225"/>
        <v>#DIV/0!</v>
      </c>
      <c r="GZ57" s="240">
        <f t="shared" si="181"/>
        <v>2.4103653822739764E-2</v>
      </c>
      <c r="HA57" s="240">
        <f t="shared" si="182"/>
        <v>2.4103653822739764E-2</v>
      </c>
      <c r="HB57" s="240" t="e">
        <f t="shared" si="183"/>
        <v>#DIV/0!</v>
      </c>
      <c r="HC57" s="240" t="e">
        <f t="shared" si="226"/>
        <v>#DIV/0!</v>
      </c>
      <c r="HE57" s="234">
        <f t="shared" si="184"/>
        <v>9.5180960163534375E-2</v>
      </c>
      <c r="HF57" s="234">
        <f t="shared" si="185"/>
        <v>9.5180960163534375E-2</v>
      </c>
      <c r="HG57" s="251">
        <f t="shared" si="190"/>
        <v>9.5180960163534375E-2</v>
      </c>
      <c r="HH57" s="234">
        <f t="shared" si="191"/>
        <v>0</v>
      </c>
      <c r="HI57" s="234">
        <f t="shared" si="227"/>
        <v>0</v>
      </c>
    </row>
    <row r="58" spans="2:217" ht="15.6" x14ac:dyDescent="0.25">
      <c r="B58">
        <v>54</v>
      </c>
      <c r="C58" s="124">
        <f t="shared" si="38"/>
        <v>80.372068792017672</v>
      </c>
      <c r="D58" s="124">
        <f t="shared" si="39"/>
        <v>174.39313785679394</v>
      </c>
      <c r="E58" s="29">
        <f t="shared" si="40"/>
        <v>2.1733773592683918</v>
      </c>
      <c r="F58" s="29">
        <f t="shared" si="41"/>
        <v>1.9866548258484693</v>
      </c>
      <c r="G58" s="29">
        <f t="shared" si="42"/>
        <v>1.9549912613046529</v>
      </c>
      <c r="H58" s="29">
        <f t="shared" si="43"/>
        <v>1.9858094408161935</v>
      </c>
      <c r="I58" s="29">
        <f t="shared" si="44"/>
        <v>2.0113734542980435</v>
      </c>
      <c r="J58" s="29">
        <f t="shared" si="45"/>
        <v>1.9858094408161937</v>
      </c>
      <c r="K58" s="29">
        <f t="shared" si="46"/>
        <v>1.9731768851751386</v>
      </c>
      <c r="L58" s="125">
        <f t="shared" si="0"/>
        <v>2.0101703810752976</v>
      </c>
      <c r="M58" s="126">
        <f t="shared" si="1"/>
        <v>7.3926890993647604E-2</v>
      </c>
      <c r="N58" s="126">
        <f t="shared" si="47"/>
        <v>3.6776430341244013</v>
      </c>
      <c r="P58" s="138">
        <f t="shared" si="48"/>
        <v>422.13578002581249</v>
      </c>
      <c r="Q58" s="138">
        <f t="shared" si="49"/>
        <v>325.79239999999999</v>
      </c>
      <c r="R58" s="138">
        <f t="shared" si="50"/>
        <v>422.13578002581249</v>
      </c>
      <c r="S58" s="138">
        <f t="shared" si="51"/>
        <v>377.66657711404156</v>
      </c>
      <c r="T58" s="138">
        <f t="shared" si="52"/>
        <v>463.78687612301297</v>
      </c>
      <c r="U58" s="138">
        <f t="shared" si="53"/>
        <v>422.13578002581249</v>
      </c>
      <c r="V58" s="138">
        <f t="shared" si="54"/>
        <v>271.58807999999999</v>
      </c>
      <c r="W58" s="138">
        <f t="shared" si="55"/>
        <v>386.46303904492743</v>
      </c>
      <c r="X58" s="138">
        <f t="shared" si="56"/>
        <v>66.77221169511219</v>
      </c>
      <c r="Y58" s="138">
        <f t="shared" si="57"/>
        <v>17.277774314492657</v>
      </c>
      <c r="AA58" s="227">
        <f t="shared" si="228"/>
        <v>0.44264097959999998</v>
      </c>
      <c r="AB58" s="227">
        <f t="shared" si="229"/>
        <v>0.40827170418006431</v>
      </c>
      <c r="AC58" s="227">
        <f t="shared" si="230"/>
        <v>0.47</v>
      </c>
      <c r="AD58" s="227">
        <f t="shared" si="231"/>
        <v>0.44264097959999998</v>
      </c>
      <c r="AE58" s="227">
        <f t="shared" si="62"/>
        <v>0.44088841584501604</v>
      </c>
      <c r="AF58" s="227">
        <f t="shared" si="63"/>
        <v>2.5281595224443919E-2</v>
      </c>
      <c r="AG58" s="227">
        <f t="shared" si="64"/>
        <v>5.7342389402517364</v>
      </c>
      <c r="AI58" s="228">
        <f t="shared" si="65"/>
        <v>4.5005537518745546</v>
      </c>
      <c r="AJ58" s="228">
        <f t="shared" si="66"/>
        <v>4.5005537518745546</v>
      </c>
      <c r="AK58" s="228">
        <f t="shared" si="67"/>
        <v>4.5005537518745546</v>
      </c>
      <c r="AL58" s="228">
        <f t="shared" si="68"/>
        <v>7.207114025881074</v>
      </c>
      <c r="AM58" s="228">
        <f t="shared" si="69"/>
        <v>4.28</v>
      </c>
      <c r="AN58" s="228">
        <f t="shared" si="70"/>
        <v>5.2241844714811485</v>
      </c>
      <c r="AO58" s="228">
        <f t="shared" si="71"/>
        <v>4.6104275600568787</v>
      </c>
      <c r="AP58" s="228">
        <f t="shared" si="72"/>
        <v>4.9747696161489667</v>
      </c>
      <c r="AQ58" s="228">
        <f t="shared" si="73"/>
        <v>1.0275911431492208</v>
      </c>
      <c r="AR58" s="228">
        <f t="shared" si="74"/>
        <v>20.656054901788444</v>
      </c>
      <c r="AT58" s="229">
        <f t="shared" si="75"/>
        <v>1.4193320790216368</v>
      </c>
      <c r="AU58" s="229">
        <f t="shared" si="76"/>
        <v>1.47</v>
      </c>
      <c r="AV58" s="229">
        <f t="shared" si="77"/>
        <v>1.3289883038276062</v>
      </c>
      <c r="AW58" s="229">
        <f t="shared" si="78"/>
        <v>1.4193320790216368</v>
      </c>
      <c r="AX58" s="229">
        <f t="shared" si="79"/>
        <v>1.0059826778954362</v>
      </c>
      <c r="AY58" s="229">
        <f t="shared" si="80"/>
        <v>1.3</v>
      </c>
      <c r="AZ58" s="229">
        <f t="shared" si="81"/>
        <v>1.2999999999999652</v>
      </c>
      <c r="BA58" s="229">
        <f t="shared" si="82"/>
        <v>1.2230240657668661</v>
      </c>
      <c r="BB58" s="229">
        <f t="shared" si="83"/>
        <v>1.3083324006916435</v>
      </c>
      <c r="BC58" s="229">
        <f t="shared" si="84"/>
        <v>0.14640289851949456</v>
      </c>
      <c r="BD58" s="229">
        <f t="shared" si="85"/>
        <v>11.190038436875781</v>
      </c>
      <c r="BF58" s="230">
        <f t="shared" si="86"/>
        <v>11.73</v>
      </c>
      <c r="BG58" s="230">
        <f t="shared" si="87"/>
        <v>6.27</v>
      </c>
      <c r="BH58" s="230">
        <f t="shared" si="88"/>
        <v>5.6841846153846154</v>
      </c>
      <c r="BI58" s="230">
        <f t="shared" si="192"/>
        <v>7.8947282051282057</v>
      </c>
      <c r="BJ58" s="230">
        <f t="shared" si="193"/>
        <v>3.3343330999792666</v>
      </c>
      <c r="BK58" s="230">
        <f t="shared" si="89"/>
        <v>42.234932138808432</v>
      </c>
      <c r="BM58" s="227">
        <f t="shared" si="90"/>
        <v>31.73</v>
      </c>
      <c r="BN58" s="227">
        <f t="shared" si="91"/>
        <v>24.643864737802872</v>
      </c>
      <c r="BO58" s="227">
        <f t="shared" si="92"/>
        <v>22.87800660538073</v>
      </c>
      <c r="BP58" s="227">
        <f t="shared" si="93"/>
        <v>24.643864737802872</v>
      </c>
      <c r="BQ58" s="227">
        <f t="shared" si="94"/>
        <v>15.17</v>
      </c>
      <c r="BR58" s="227">
        <f t="shared" si="95"/>
        <v>20.830270094695468</v>
      </c>
      <c r="BS58" s="227">
        <f t="shared" si="96"/>
        <v>19.95</v>
      </c>
      <c r="BT58" s="227">
        <f t="shared" si="194"/>
        <v>22.835143739383135</v>
      </c>
      <c r="BU58" s="227">
        <f t="shared" si="195"/>
        <v>5.1114454853142259</v>
      </c>
      <c r="BV58" s="227">
        <f t="shared" si="97"/>
        <v>22.384117847695691</v>
      </c>
      <c r="BX58" s="231">
        <f t="shared" si="98"/>
        <v>0.33537216565893713</v>
      </c>
      <c r="BY58" s="231">
        <f t="shared" si="99"/>
        <v>0.30672631956317004</v>
      </c>
      <c r="BZ58" s="231">
        <f t="shared" si="100"/>
        <v>0.32423527368702526</v>
      </c>
      <c r="CA58" s="231">
        <f t="shared" si="101"/>
        <v>0.24</v>
      </c>
      <c r="CB58" s="231">
        <f t="shared" si="102"/>
        <v>0.36971282995559157</v>
      </c>
      <c r="CC58" s="231">
        <f t="shared" si="103"/>
        <v>0.31784562012448953</v>
      </c>
      <c r="CD58" s="231">
        <f t="shared" si="104"/>
        <v>0.48</v>
      </c>
      <c r="CE58" s="231">
        <f t="shared" si="105"/>
        <v>0.45460374344432625</v>
      </c>
      <c r="CF58" s="231">
        <f t="shared" si="106"/>
        <v>0.35356199405419247</v>
      </c>
      <c r="CG58" s="231">
        <f t="shared" si="107"/>
        <v>7.9294520273207866E-2</v>
      </c>
      <c r="CH58" s="231">
        <f t="shared" si="196"/>
        <v>22.427331445883276</v>
      </c>
      <c r="CJ58" s="232">
        <f t="shared" si="108"/>
        <v>1.5102345093555793</v>
      </c>
      <c r="CK58" s="232">
        <f t="shared" si="109"/>
        <v>1.5102345093555793</v>
      </c>
      <c r="CL58" s="232">
        <f t="shared" si="110"/>
        <v>2.1</v>
      </c>
      <c r="CM58" s="232">
        <f t="shared" si="111"/>
        <v>1.8742958390621669</v>
      </c>
      <c r="CN58" s="232">
        <f t="shared" si="112"/>
        <v>1.8762317695680837</v>
      </c>
      <c r="CO58" s="232">
        <f t="shared" si="113"/>
        <v>1.5345925207202964</v>
      </c>
      <c r="CP58" s="232">
        <f t="shared" si="114"/>
        <v>1.5111857921057459</v>
      </c>
      <c r="CQ58" s="232">
        <f t="shared" si="115"/>
        <v>1.8850614254472084</v>
      </c>
      <c r="CR58" s="232">
        <f t="shared" si="116"/>
        <v>4.026640646480085</v>
      </c>
      <c r="CS58" s="232">
        <f t="shared" si="117"/>
        <v>1.41</v>
      </c>
      <c r="CT58" s="232">
        <f t="shared" si="118"/>
        <v>1.4132870244918823</v>
      </c>
      <c r="CU58" s="232">
        <f t="shared" si="119"/>
        <v>1.8774330942351478</v>
      </c>
      <c r="CV58" s="232">
        <f t="shared" si="120"/>
        <v>0.74993134522041505</v>
      </c>
      <c r="CW58" s="232">
        <f t="shared" si="197"/>
        <v>39.944504415265541</v>
      </c>
      <c r="CY58" s="229">
        <f t="shared" si="198"/>
        <v>1.19</v>
      </c>
      <c r="CZ58" s="229">
        <f t="shared" si="199"/>
        <v>0.76785997522672256</v>
      </c>
      <c r="DA58" s="229">
        <f t="shared" si="200"/>
        <v>0.52170458537849818</v>
      </c>
      <c r="DB58" s="229">
        <f t="shared" si="201"/>
        <v>1.2010055199246774</v>
      </c>
      <c r="DC58" s="229">
        <f t="shared" si="202"/>
        <v>0.57999999999999996</v>
      </c>
      <c r="DD58" s="229">
        <f t="shared" si="203"/>
        <v>0.56260448154412368</v>
      </c>
      <c r="DE58" s="229">
        <f t="shared" si="204"/>
        <v>0.8</v>
      </c>
      <c r="DF58" s="229">
        <f t="shared" si="205"/>
        <v>0.80331065172486027</v>
      </c>
      <c r="DG58" s="229">
        <f t="shared" si="206"/>
        <v>0.28753743387626185</v>
      </c>
      <c r="DH58" s="229">
        <f t="shared" si="207"/>
        <v>35.794052183780266</v>
      </c>
      <c r="DJ58" s="234">
        <f t="shared" si="121"/>
        <v>0.11895066181218615</v>
      </c>
      <c r="DK58" s="234">
        <f t="shared" si="122"/>
        <v>0.16074413758403536</v>
      </c>
      <c r="DL58" s="234">
        <f t="shared" si="123"/>
        <v>0.11649249844880367</v>
      </c>
      <c r="DM58" s="234">
        <f t="shared" si="208"/>
        <v>0.13206243261500838</v>
      </c>
      <c r="DN58" s="234">
        <f t="shared" si="209"/>
        <v>2.4869475099567311E-2</v>
      </c>
      <c r="DO58" s="234">
        <f t="shared" si="210"/>
        <v>18.831604573018438</v>
      </c>
      <c r="DQ58" s="229">
        <f t="shared" si="124"/>
        <v>3.49</v>
      </c>
      <c r="DR58" s="229">
        <f t="shared" si="125"/>
        <v>3.8499429856847409</v>
      </c>
      <c r="DS58" s="229">
        <f t="shared" si="126"/>
        <v>3.0152555716129466</v>
      </c>
      <c r="DT58" s="229">
        <f t="shared" si="127"/>
        <v>2.6760321617222882</v>
      </c>
      <c r="DU58" s="229">
        <f t="shared" si="128"/>
        <v>3.8499429856847409</v>
      </c>
      <c r="DV58" s="229">
        <f t="shared" si="129"/>
        <v>1.97</v>
      </c>
      <c r="DW58" s="229">
        <f t="shared" si="130"/>
        <v>2.0682</v>
      </c>
      <c r="DX58" s="229">
        <f t="shared" si="131"/>
        <v>3.5146099822716308</v>
      </c>
      <c r="DY58" s="229">
        <f t="shared" si="211"/>
        <v>3.0542479608720434</v>
      </c>
      <c r="DZ58" s="229">
        <f t="shared" si="212"/>
        <v>0.75218975515456299</v>
      </c>
      <c r="EA58" s="229">
        <f t="shared" si="213"/>
        <v>24.627658421675726</v>
      </c>
      <c r="EC58" s="235">
        <f t="shared" si="132"/>
        <v>0.21478049583966305</v>
      </c>
      <c r="ED58" s="235">
        <f t="shared" si="133"/>
        <v>0.15</v>
      </c>
      <c r="EE58" s="235">
        <f t="shared" si="134"/>
        <v>0.1768185513424389</v>
      </c>
      <c r="EF58" s="235">
        <f t="shared" si="135"/>
        <v>0.14641198822037244</v>
      </c>
      <c r="EG58" s="235">
        <f t="shared" si="136"/>
        <v>0.17200275885061861</v>
      </c>
      <c r="EH58" s="235">
        <f t="shared" si="137"/>
        <v>3.1581300256726029E-2</v>
      </c>
      <c r="EI58" s="235">
        <f t="shared" si="214"/>
        <v>18.36092657336609</v>
      </c>
      <c r="EK58" s="236">
        <f t="shared" si="138"/>
        <v>20.705381659388649</v>
      </c>
      <c r="EL58" s="236">
        <f t="shared" si="139"/>
        <v>31.525826466159387</v>
      </c>
      <c r="EM58" s="236">
        <f t="shared" si="140"/>
        <v>32.202069934789975</v>
      </c>
      <c r="EN58" s="236">
        <f t="shared" si="141"/>
        <v>14.4</v>
      </c>
      <c r="EO58" s="236">
        <f t="shared" si="142"/>
        <v>31.043138293074129</v>
      </c>
      <c r="EP58" s="236">
        <f t="shared" si="143"/>
        <v>32.202069934789975</v>
      </c>
      <c r="EQ58" s="236">
        <f t="shared" si="144"/>
        <v>33.428232891833453</v>
      </c>
      <c r="ER58" s="236">
        <f t="shared" si="145"/>
        <v>27.929531311433653</v>
      </c>
      <c r="ES58" s="236">
        <f t="shared" si="146"/>
        <v>7.3553759775267364</v>
      </c>
      <c r="ET58" s="236">
        <f t="shared" si="215"/>
        <v>26.335479444711012</v>
      </c>
      <c r="EV58" s="238">
        <f t="shared" si="147"/>
        <v>1.6074413758403534E-2</v>
      </c>
      <c r="EW58" s="238">
        <f t="shared" si="148"/>
        <v>1.6074413758403534E-2</v>
      </c>
      <c r="EX58" s="238" t="e">
        <f t="shared" si="149"/>
        <v>#DIV/0!</v>
      </c>
      <c r="EY58" s="238" t="e">
        <f t="shared" si="216"/>
        <v>#DIV/0!</v>
      </c>
      <c r="FA58" s="240">
        <f t="shared" si="150"/>
        <v>0.49830682651050956</v>
      </c>
      <c r="FB58" s="240">
        <f t="shared" si="151"/>
        <v>0.6694993330375073</v>
      </c>
      <c r="FC58" s="240">
        <f t="shared" si="152"/>
        <v>0.58390307977400846</v>
      </c>
      <c r="FD58" s="240">
        <f t="shared" si="153"/>
        <v>0.12105138225356227</v>
      </c>
      <c r="FE58" s="240">
        <f t="shared" si="217"/>
        <v>20.731416984547081</v>
      </c>
      <c r="FG58" s="236">
        <f t="shared" si="154"/>
        <v>1.2</v>
      </c>
      <c r="FH58" s="236">
        <f t="shared" si="155"/>
        <v>1.3834398385415658</v>
      </c>
      <c r="FI58" s="236">
        <f t="shared" si="156"/>
        <v>1.3261391350682916</v>
      </c>
      <c r="FJ58" s="236">
        <f t="shared" si="157"/>
        <v>0.92</v>
      </c>
      <c r="FK58" s="236">
        <f t="shared" si="158"/>
        <v>1.2859531006722829</v>
      </c>
      <c r="FL58" s="236">
        <f t="shared" si="159"/>
        <v>0.9</v>
      </c>
      <c r="FM58" s="236">
        <f t="shared" si="160"/>
        <v>1.1692553457136901</v>
      </c>
      <c r="FN58" s="236">
        <f t="shared" si="161"/>
        <v>0.20960810512573369</v>
      </c>
      <c r="FO58" s="236">
        <f t="shared" si="218"/>
        <v>17.92663218467418</v>
      </c>
      <c r="FQ58" s="227">
        <f t="shared" si="162"/>
        <v>0.32</v>
      </c>
      <c r="FR58" s="227">
        <f t="shared" si="163"/>
        <v>0.34802826783282742</v>
      </c>
      <c r="FS58" s="227">
        <f t="shared" si="164"/>
        <v>0.34802826783282742</v>
      </c>
      <c r="FT58" s="227">
        <f t="shared" si="165"/>
        <v>0.24</v>
      </c>
      <c r="FU58" s="227">
        <f t="shared" si="166"/>
        <v>0.33491041065633759</v>
      </c>
      <c r="FV58" s="227">
        <f t="shared" si="219"/>
        <v>0.3181933892643985</v>
      </c>
      <c r="FW58" s="227">
        <f t="shared" si="220"/>
        <v>4.5213849453480656E-2</v>
      </c>
      <c r="FX58" s="227">
        <f t="shared" si="221"/>
        <v>14.209550222902594</v>
      </c>
      <c r="FZ58" s="230">
        <f t="shared" si="167"/>
        <v>1.6878134446323712</v>
      </c>
      <c r="GA58" s="230">
        <f t="shared" si="168"/>
        <v>2.4700000000000002</v>
      </c>
      <c r="GB58" s="230">
        <f t="shared" si="169"/>
        <v>3.6151220282628476</v>
      </c>
      <c r="GC58" s="230">
        <f t="shared" si="170"/>
        <v>2.5909784909650728</v>
      </c>
      <c r="GD58" s="230">
        <f t="shared" si="171"/>
        <v>0.96933298746667484</v>
      </c>
      <c r="GE58" s="230">
        <f t="shared" si="222"/>
        <v>37.411850034525884</v>
      </c>
      <c r="GG58" s="231">
        <f t="shared" si="172"/>
        <v>0.11252089630882474</v>
      </c>
      <c r="GH58" s="231">
        <f t="shared" si="173"/>
        <v>0.05</v>
      </c>
      <c r="GI58" s="231">
        <f t="shared" si="174"/>
        <v>0.05</v>
      </c>
      <c r="GJ58" s="231">
        <f t="shared" si="175"/>
        <v>0.12473745076521142</v>
      </c>
      <c r="GK58" s="245">
        <f t="shared" si="186"/>
        <v>7.4912483588403814E-2</v>
      </c>
      <c r="GL58" s="231">
        <f t="shared" si="187"/>
        <v>4.3149687317841211E-2</v>
      </c>
      <c r="GM58" s="231">
        <f t="shared" si="223"/>
        <v>57.600129178630823</v>
      </c>
      <c r="GO58" s="246">
        <f t="shared" si="176"/>
        <v>0.18</v>
      </c>
      <c r="GP58" s="246">
        <f t="shared" si="177"/>
        <v>0.18485575822164063</v>
      </c>
      <c r="GQ58" s="247">
        <f t="shared" si="188"/>
        <v>0.18242787911082031</v>
      </c>
      <c r="GR58" s="246">
        <f t="shared" si="189"/>
        <v>3.4335395663244259E-3</v>
      </c>
      <c r="GS58" s="246">
        <f t="shared" si="224"/>
        <v>1.8821353309921656</v>
      </c>
      <c r="GU58" s="249">
        <f t="shared" si="178"/>
        <v>2.2769407088778608E-2</v>
      </c>
      <c r="GV58" s="249">
        <f t="shared" si="179"/>
        <v>2.2769407088778608E-2</v>
      </c>
      <c r="GW58" s="249" t="e">
        <f t="shared" si="180"/>
        <v>#DIV/0!</v>
      </c>
      <c r="GX58" s="249" t="e">
        <f t="shared" si="225"/>
        <v>#DIV/0!</v>
      </c>
      <c r="GZ58" s="240">
        <f t="shared" si="181"/>
        <v>2.4111620637605302E-2</v>
      </c>
      <c r="HA58" s="240">
        <f t="shared" si="182"/>
        <v>2.4111620637605302E-2</v>
      </c>
      <c r="HB58" s="240" t="e">
        <f t="shared" si="183"/>
        <v>#DIV/0!</v>
      </c>
      <c r="HC58" s="240" t="e">
        <f t="shared" si="226"/>
        <v>#DIV/0!</v>
      </c>
      <c r="HE58" s="234">
        <f t="shared" si="184"/>
        <v>9.5212561862501016E-2</v>
      </c>
      <c r="HF58" s="234">
        <f t="shared" si="185"/>
        <v>9.5212561862501016E-2</v>
      </c>
      <c r="HG58" s="251">
        <f t="shared" si="190"/>
        <v>9.5212561862501016E-2</v>
      </c>
      <c r="HH58" s="234">
        <f t="shared" si="191"/>
        <v>0</v>
      </c>
      <c r="HI58" s="234">
        <f t="shared" si="227"/>
        <v>0</v>
      </c>
    </row>
    <row r="59" spans="2:217" ht="15.6" x14ac:dyDescent="0.25">
      <c r="B59">
        <v>55</v>
      </c>
      <c r="C59" s="124">
        <f t="shared" si="38"/>
        <v>80.405205924718757</v>
      </c>
      <c r="D59" s="124">
        <f t="shared" si="39"/>
        <v>174.48349294675199</v>
      </c>
      <c r="E59" s="29">
        <f t="shared" si="40"/>
        <v>2.1743392417772753</v>
      </c>
      <c r="F59" s="29">
        <f t="shared" si="41"/>
        <v>1.9875110110480105</v>
      </c>
      <c r="G59" s="29">
        <f t="shared" si="42"/>
        <v>1.9560682174863453</v>
      </c>
      <c r="H59" s="29">
        <f t="shared" si="43"/>
        <v>1.9866652616816074</v>
      </c>
      <c r="I59" s="29">
        <f t="shared" si="44"/>
        <v>2.012242355198067</v>
      </c>
      <c r="J59" s="29">
        <f t="shared" si="45"/>
        <v>1.9866652616816074</v>
      </c>
      <c r="K59" s="29">
        <f t="shared" si="46"/>
        <v>1.9740948123160853</v>
      </c>
      <c r="L59" s="125">
        <f t="shared" si="0"/>
        <v>2.0110837373127137</v>
      </c>
      <c r="M59" s="126">
        <f t="shared" si="1"/>
        <v>7.3933289136670355E-2</v>
      </c>
      <c r="N59" s="126">
        <f t="shared" si="47"/>
        <v>3.6762909353273781</v>
      </c>
      <c r="P59" s="138">
        <f t="shared" si="48"/>
        <v>422.32758483566988</v>
      </c>
      <c r="Q59" s="138">
        <f t="shared" si="49"/>
        <v>325.79239999999999</v>
      </c>
      <c r="R59" s="138">
        <f t="shared" si="50"/>
        <v>422.32758483566988</v>
      </c>
      <c r="S59" s="138">
        <f t="shared" si="51"/>
        <v>376.46186574209719</v>
      </c>
      <c r="T59" s="138">
        <f t="shared" si="52"/>
        <v>463.93630607534186</v>
      </c>
      <c r="U59" s="138">
        <f t="shared" si="53"/>
        <v>422.32758483566988</v>
      </c>
      <c r="V59" s="138">
        <f t="shared" si="54"/>
        <v>269.98949999999996</v>
      </c>
      <c r="W59" s="138">
        <f t="shared" si="55"/>
        <v>386.16611804634982</v>
      </c>
      <c r="X59" s="138">
        <f t="shared" si="56"/>
        <v>67.339094775796354</v>
      </c>
      <c r="Y59" s="138">
        <f t="shared" si="57"/>
        <v>17.437856826091082</v>
      </c>
      <c r="AA59" s="227">
        <f t="shared" si="228"/>
        <v>0.44205910625</v>
      </c>
      <c r="AB59" s="227">
        <f t="shared" si="229"/>
        <v>0.40841772151898731</v>
      </c>
      <c r="AC59" s="227">
        <f t="shared" si="230"/>
        <v>0.47</v>
      </c>
      <c r="AD59" s="227">
        <f t="shared" si="231"/>
        <v>0.44205910625</v>
      </c>
      <c r="AE59" s="227">
        <f t="shared" si="62"/>
        <v>0.44063398350474681</v>
      </c>
      <c r="AF59" s="227">
        <f t="shared" si="63"/>
        <v>2.5194658235511282E-2</v>
      </c>
      <c r="AG59" s="227">
        <f t="shared" si="64"/>
        <v>5.7178200453619503</v>
      </c>
      <c r="AI59" s="228">
        <f t="shared" si="65"/>
        <v>4.5030245237709288</v>
      </c>
      <c r="AJ59" s="228">
        <f t="shared" si="66"/>
        <v>4.5030245237709288</v>
      </c>
      <c r="AK59" s="228">
        <f t="shared" si="67"/>
        <v>4.5030245237709288</v>
      </c>
      <c r="AL59" s="228">
        <f t="shared" si="68"/>
        <v>7.2100845624102483</v>
      </c>
      <c r="AM59" s="228">
        <f t="shared" si="69"/>
        <v>4.28</v>
      </c>
      <c r="AN59" s="228">
        <f t="shared" si="70"/>
        <v>5.2263383851067191</v>
      </c>
      <c r="AO59" s="228">
        <f t="shared" si="71"/>
        <v>4.6127195672186971</v>
      </c>
      <c r="AP59" s="228">
        <f t="shared" si="72"/>
        <v>4.9768880122926351</v>
      </c>
      <c r="AQ59" s="228">
        <f t="shared" si="73"/>
        <v>1.028048612281292</v>
      </c>
      <c r="AR59" s="228">
        <f t="shared" si="74"/>
        <v>20.656454590540701</v>
      </c>
      <c r="AT59" s="229">
        <f t="shared" si="75"/>
        <v>1.4197895277207391</v>
      </c>
      <c r="AU59" s="229">
        <f t="shared" si="76"/>
        <v>1.47</v>
      </c>
      <c r="AV59" s="229">
        <f t="shared" si="77"/>
        <v>1.3292062507434814</v>
      </c>
      <c r="AW59" s="229">
        <f t="shared" si="78"/>
        <v>1.4197895277207391</v>
      </c>
      <c r="AX59" s="229">
        <f t="shared" si="79"/>
        <v>1.0243124527311389</v>
      </c>
      <c r="AY59" s="229">
        <f t="shared" si="80"/>
        <v>1.3</v>
      </c>
      <c r="AZ59" s="229">
        <f t="shared" si="81"/>
        <v>1.2999999999999805</v>
      </c>
      <c r="BA59" s="229">
        <f t="shared" si="82"/>
        <v>1.2210812161904283</v>
      </c>
      <c r="BB59" s="229">
        <f t="shared" si="83"/>
        <v>1.3105223718883134</v>
      </c>
      <c r="BC59" s="229">
        <f t="shared" si="84"/>
        <v>0.14131934589101924</v>
      </c>
      <c r="BD59" s="229">
        <f t="shared" si="85"/>
        <v>10.783436355031021</v>
      </c>
      <c r="BF59" s="230">
        <f t="shared" si="86"/>
        <v>11.73</v>
      </c>
      <c r="BG59" s="230">
        <f t="shared" si="87"/>
        <v>6.27</v>
      </c>
      <c r="BH59" s="230">
        <f t="shared" si="88"/>
        <v>5.666953846153846</v>
      </c>
      <c r="BI59" s="230">
        <f t="shared" si="192"/>
        <v>7.888984615384615</v>
      </c>
      <c r="BJ59" s="230">
        <f t="shared" si="193"/>
        <v>3.3400547232876616</v>
      </c>
      <c r="BK59" s="230">
        <f t="shared" si="89"/>
        <v>42.338208098087698</v>
      </c>
      <c r="BM59" s="227">
        <f t="shared" si="90"/>
        <v>31.73</v>
      </c>
      <c r="BN59" s="227">
        <f t="shared" si="91"/>
        <v>24.658025338423116</v>
      </c>
      <c r="BO59" s="227">
        <f t="shared" si="92"/>
        <v>22.881031644137121</v>
      </c>
      <c r="BP59" s="227">
        <f t="shared" si="93"/>
        <v>24.658025338423116</v>
      </c>
      <c r="BQ59" s="227">
        <f t="shared" si="94"/>
        <v>15.17</v>
      </c>
      <c r="BR59" s="227">
        <f t="shared" si="95"/>
        <v>20.659513489907464</v>
      </c>
      <c r="BS59" s="227">
        <f t="shared" si="96"/>
        <v>19.95</v>
      </c>
      <c r="BT59" s="227">
        <f t="shared" si="194"/>
        <v>22.815227972984399</v>
      </c>
      <c r="BU59" s="227">
        <f t="shared" si="195"/>
        <v>5.1247022955087651</v>
      </c>
      <c r="BV59" s="227">
        <f t="shared" si="97"/>
        <v>22.461762387721677</v>
      </c>
      <c r="BX59" s="231">
        <f t="shared" si="98"/>
        <v>0.33560327048809863</v>
      </c>
      <c r="BY59" s="231">
        <f t="shared" si="99"/>
        <v>0.30644698060464992</v>
      </c>
      <c r="BZ59" s="231">
        <f t="shared" si="100"/>
        <v>0.3243333553283177</v>
      </c>
      <c r="CA59" s="231">
        <f t="shared" si="101"/>
        <v>0.24</v>
      </c>
      <c r="CB59" s="231">
        <f t="shared" si="102"/>
        <v>0.36986500075261025</v>
      </c>
      <c r="CC59" s="231">
        <f t="shared" si="103"/>
        <v>0.3180689350416166</v>
      </c>
      <c r="CD59" s="231">
        <f t="shared" si="104"/>
        <v>0.48</v>
      </c>
      <c r="CE59" s="231">
        <f t="shared" si="105"/>
        <v>0.4549619740071808</v>
      </c>
      <c r="CF59" s="231">
        <f t="shared" si="106"/>
        <v>0.35365993952780922</v>
      </c>
      <c r="CG59" s="231">
        <f t="shared" si="107"/>
        <v>7.9360816042730889E-2</v>
      </c>
      <c r="CH59" s="231">
        <f t="shared" si="196"/>
        <v>22.439865863430803</v>
      </c>
      <c r="CJ59" s="232">
        <f t="shared" si="108"/>
        <v>1.5110509208664842</v>
      </c>
      <c r="CK59" s="232">
        <f t="shared" si="109"/>
        <v>1.5110509208664842</v>
      </c>
      <c r="CL59" s="232">
        <f t="shared" si="110"/>
        <v>2.1</v>
      </c>
      <c r="CM59" s="232">
        <f t="shared" si="111"/>
        <v>1.8748817060623546</v>
      </c>
      <c r="CN59" s="232">
        <f t="shared" si="112"/>
        <v>1.8740603467649595</v>
      </c>
      <c r="CO59" s="232">
        <f t="shared" si="113"/>
        <v>1.5350860100491983</v>
      </c>
      <c r="CP59" s="232">
        <f t="shared" si="114"/>
        <v>1.5120027178667108</v>
      </c>
      <c r="CQ59" s="232">
        <f t="shared" si="115"/>
        <v>1.8857999761228048</v>
      </c>
      <c r="CR59" s="232">
        <f t="shared" si="116"/>
        <v>4.02830081682841</v>
      </c>
      <c r="CS59" s="232">
        <f t="shared" si="117"/>
        <v>1.41</v>
      </c>
      <c r="CT59" s="232">
        <f t="shared" si="118"/>
        <v>1.4140724109053529</v>
      </c>
      <c r="CU59" s="232">
        <f t="shared" si="119"/>
        <v>1.8778459842120689</v>
      </c>
      <c r="CV59" s="232">
        <f t="shared" si="120"/>
        <v>0.75021753528464152</v>
      </c>
      <c r="CW59" s="232">
        <f t="shared" si="197"/>
        <v>39.950961984745916</v>
      </c>
      <c r="CY59" s="229">
        <f t="shared" si="198"/>
        <v>1.19</v>
      </c>
      <c r="CZ59" s="229">
        <f t="shared" si="199"/>
        <v>0.76998106091586549</v>
      </c>
      <c r="DA59" s="229">
        <f t="shared" si="200"/>
        <v>0.52207375170878823</v>
      </c>
      <c r="DB59" s="229">
        <f t="shared" si="201"/>
        <v>1.2013794603390315</v>
      </c>
      <c r="DC59" s="229">
        <f t="shared" si="202"/>
        <v>0.57999999999999996</v>
      </c>
      <c r="DD59" s="229">
        <f t="shared" si="203"/>
        <v>0.56283644147303136</v>
      </c>
      <c r="DE59" s="229">
        <f t="shared" si="204"/>
        <v>0.8</v>
      </c>
      <c r="DF59" s="229">
        <f t="shared" si="205"/>
        <v>0.80375295920524514</v>
      </c>
      <c r="DG59" s="229">
        <f t="shared" si="206"/>
        <v>0.28748842525935425</v>
      </c>
      <c r="DH59" s="229">
        <f t="shared" si="207"/>
        <v>35.768257145034241</v>
      </c>
      <c r="DJ59" s="234">
        <f t="shared" si="121"/>
        <v>0.11899970476858376</v>
      </c>
      <c r="DK59" s="234">
        <f t="shared" si="122"/>
        <v>0.16081041184943751</v>
      </c>
      <c r="DL59" s="234">
        <f t="shared" si="123"/>
        <v>0.11657832794065727</v>
      </c>
      <c r="DM59" s="234">
        <f t="shared" si="208"/>
        <v>0.1321294815195595</v>
      </c>
      <c r="DN59" s="234">
        <f t="shared" si="209"/>
        <v>2.4867902804140897E-2</v>
      </c>
      <c r="DO59" s="234">
        <f t="shared" si="210"/>
        <v>18.820858538266215</v>
      </c>
      <c r="DQ59" s="229">
        <f t="shared" si="124"/>
        <v>3.49</v>
      </c>
      <c r="DR59" s="229">
        <f t="shared" si="125"/>
        <v>3.8516959113033566</v>
      </c>
      <c r="DS59" s="229">
        <f t="shared" si="126"/>
        <v>3.0166256059690708</v>
      </c>
      <c r="DT59" s="229">
        <f t="shared" si="127"/>
        <v>2.676912465129266</v>
      </c>
      <c r="DU59" s="229">
        <f t="shared" si="128"/>
        <v>3.8516959113033566</v>
      </c>
      <c r="DV59" s="229">
        <f t="shared" si="129"/>
        <v>1.97</v>
      </c>
      <c r="DW59" s="229">
        <f t="shared" si="130"/>
        <v>2.1065</v>
      </c>
      <c r="DX59" s="229">
        <f t="shared" si="131"/>
        <v>3.5198784762932904</v>
      </c>
      <c r="DY59" s="229">
        <f t="shared" si="211"/>
        <v>3.0604135462497926</v>
      </c>
      <c r="DZ59" s="229">
        <f t="shared" si="212"/>
        <v>0.74602291463979842</v>
      </c>
      <c r="EA59" s="229">
        <f t="shared" si="213"/>
        <v>24.376539424025527</v>
      </c>
      <c r="EC59" s="235">
        <f t="shared" si="132"/>
        <v>0.21485420841645644</v>
      </c>
      <c r="ED59" s="235">
        <f t="shared" si="133"/>
        <v>0.15</v>
      </c>
      <c r="EE59" s="235">
        <f t="shared" si="134"/>
        <v>0.17689145303438128</v>
      </c>
      <c r="EF59" s="235">
        <f t="shared" si="135"/>
        <v>0.14651255693236409</v>
      </c>
      <c r="EG59" s="235">
        <f t="shared" si="136"/>
        <v>0.17206455459580045</v>
      </c>
      <c r="EH59" s="235">
        <f t="shared" si="137"/>
        <v>3.1591151592026891E-2</v>
      </c>
      <c r="EI59" s="235">
        <f t="shared" si="214"/>
        <v>18.360057750556564</v>
      </c>
      <c r="EK59" s="236">
        <f t="shared" si="138"/>
        <v>20.705381659388649</v>
      </c>
      <c r="EL59" s="236">
        <f t="shared" si="139"/>
        <v>31.570164844066216</v>
      </c>
      <c r="EM59" s="236">
        <f t="shared" si="140"/>
        <v>32.247359391283169</v>
      </c>
      <c r="EN59" s="236">
        <f t="shared" si="141"/>
        <v>14.4</v>
      </c>
      <c r="EO59" s="236">
        <f t="shared" si="142"/>
        <v>31.15345429461718</v>
      </c>
      <c r="EP59" s="236">
        <f t="shared" si="143"/>
        <v>32.247359391283169</v>
      </c>
      <c r="EQ59" s="236">
        <f t="shared" si="144"/>
        <v>33.456408990339888</v>
      </c>
      <c r="ER59" s="236">
        <f t="shared" si="145"/>
        <v>27.96858979585404</v>
      </c>
      <c r="ES59" s="236">
        <f t="shared" si="146"/>
        <v>7.3791081687656384</v>
      </c>
      <c r="ET59" s="236">
        <f t="shared" si="215"/>
        <v>26.3835546326311</v>
      </c>
      <c r="EV59" s="238">
        <f t="shared" si="147"/>
        <v>1.6081041184943752E-2</v>
      </c>
      <c r="EW59" s="238">
        <f t="shared" si="148"/>
        <v>1.6081041184943752E-2</v>
      </c>
      <c r="EX59" s="238" t="e">
        <f t="shared" si="149"/>
        <v>#DIV/0!</v>
      </c>
      <c r="EY59" s="238" t="e">
        <f t="shared" si="216"/>
        <v>#DIV/0!</v>
      </c>
      <c r="FA59" s="240">
        <f t="shared" si="150"/>
        <v>0.49851227673325627</v>
      </c>
      <c r="FB59" s="240">
        <f t="shared" si="151"/>
        <v>0.66977536535290727</v>
      </c>
      <c r="FC59" s="240">
        <f t="shared" si="152"/>
        <v>0.58414382104308182</v>
      </c>
      <c r="FD59" s="240">
        <f t="shared" si="153"/>
        <v>0.12110129132990752</v>
      </c>
      <c r="FE59" s="240">
        <f t="shared" si="217"/>
        <v>20.731416984547039</v>
      </c>
      <c r="FG59" s="236">
        <f t="shared" si="154"/>
        <v>1.2</v>
      </c>
      <c r="FH59" s="236">
        <f t="shared" si="155"/>
        <v>1.3831041988652533</v>
      </c>
      <c r="FI59" s="236">
        <f t="shared" si="156"/>
        <v>1.3266858977578595</v>
      </c>
      <c r="FJ59" s="236">
        <f t="shared" si="157"/>
        <v>0.92</v>
      </c>
      <c r="FK59" s="236">
        <f t="shared" si="158"/>
        <v>1.2864832947955001</v>
      </c>
      <c r="FL59" s="236">
        <f t="shared" si="159"/>
        <v>0.9</v>
      </c>
      <c r="FM59" s="236">
        <f t="shared" si="160"/>
        <v>1.1693788985697688</v>
      </c>
      <c r="FN59" s="236">
        <f t="shared" si="161"/>
        <v>0.20968066839586405</v>
      </c>
      <c r="FO59" s="236">
        <f t="shared" si="218"/>
        <v>17.930943396731205</v>
      </c>
      <c r="FQ59" s="227">
        <f t="shared" si="162"/>
        <v>0.32</v>
      </c>
      <c r="FR59" s="227">
        <f t="shared" si="163"/>
        <v>0.34827655582962569</v>
      </c>
      <c r="FS59" s="227">
        <f t="shared" si="164"/>
        <v>0.34827655582962569</v>
      </c>
      <c r="FT59" s="227">
        <f t="shared" si="165"/>
        <v>0.24</v>
      </c>
      <c r="FU59" s="227">
        <f t="shared" si="166"/>
        <v>0.33504849308830303</v>
      </c>
      <c r="FV59" s="227">
        <f t="shared" si="219"/>
        <v>0.3183203209495109</v>
      </c>
      <c r="FW59" s="227">
        <f t="shared" si="220"/>
        <v>4.530860225949708E-2</v>
      </c>
      <c r="FX59" s="227">
        <f t="shared" si="221"/>
        <v>14.233650595835986</v>
      </c>
      <c r="FZ59" s="230">
        <f t="shared" si="167"/>
        <v>1.6885093244190941</v>
      </c>
      <c r="GA59" s="230">
        <f t="shared" si="168"/>
        <v>2.4700000000000002</v>
      </c>
      <c r="GB59" s="230">
        <f t="shared" si="169"/>
        <v>3.6168187465211012</v>
      </c>
      <c r="GC59" s="230">
        <f t="shared" si="170"/>
        <v>2.591776023646732</v>
      </c>
      <c r="GD59" s="230">
        <f t="shared" si="171"/>
        <v>0.96990533393380685</v>
      </c>
      <c r="GE59" s="230">
        <f t="shared" si="222"/>
        <v>37.422420960940578</v>
      </c>
      <c r="GG59" s="231">
        <f t="shared" si="172"/>
        <v>0.11256728829460626</v>
      </c>
      <c r="GH59" s="231">
        <f t="shared" si="173"/>
        <v>0.05</v>
      </c>
      <c r="GI59" s="231">
        <f t="shared" si="174"/>
        <v>0.05</v>
      </c>
      <c r="GJ59" s="231">
        <f t="shared" si="175"/>
        <v>0.12478887959516351</v>
      </c>
      <c r="GK59" s="245">
        <f t="shared" si="186"/>
        <v>7.492962653172118E-2</v>
      </c>
      <c r="GL59" s="231">
        <f t="shared" si="187"/>
        <v>4.3179379766658151E-2</v>
      </c>
      <c r="GM59" s="231">
        <f t="shared" si="223"/>
        <v>57.626578117773377</v>
      </c>
      <c r="GO59" s="246">
        <f t="shared" si="176"/>
        <v>0.18</v>
      </c>
      <c r="GP59" s="246">
        <f t="shared" si="177"/>
        <v>0.18493197362685315</v>
      </c>
      <c r="GQ59" s="247">
        <f t="shared" si="188"/>
        <v>0.18246598681342657</v>
      </c>
      <c r="GR59" s="246">
        <f t="shared" si="189"/>
        <v>3.4874319961810795E-3</v>
      </c>
      <c r="GS59" s="246">
        <f t="shared" si="224"/>
        <v>1.9112778535251154</v>
      </c>
      <c r="GU59" s="249">
        <f t="shared" si="178"/>
        <v>2.2778794838472824E-2</v>
      </c>
      <c r="GV59" s="249">
        <f t="shared" si="179"/>
        <v>2.2778794838472824E-2</v>
      </c>
      <c r="GW59" s="249" t="e">
        <f t="shared" si="180"/>
        <v>#DIV/0!</v>
      </c>
      <c r="GX59" s="249" t="e">
        <f t="shared" si="225"/>
        <v>#DIV/0!</v>
      </c>
      <c r="GZ59" s="240">
        <f t="shared" si="181"/>
        <v>2.4121561777415628E-2</v>
      </c>
      <c r="HA59" s="240">
        <f t="shared" si="182"/>
        <v>2.4121561777415628E-2</v>
      </c>
      <c r="HB59" s="240" t="e">
        <f t="shared" si="183"/>
        <v>#DIV/0!</v>
      </c>
      <c r="HC59" s="240" t="e">
        <f t="shared" si="226"/>
        <v>#DIV/0!</v>
      </c>
      <c r="HE59" s="234">
        <f t="shared" si="184"/>
        <v>9.5251995050415303E-2</v>
      </c>
      <c r="HF59" s="234">
        <f t="shared" si="185"/>
        <v>9.5251995050415303E-2</v>
      </c>
      <c r="HG59" s="251">
        <f t="shared" si="190"/>
        <v>9.5251995050415303E-2</v>
      </c>
      <c r="HH59" s="234">
        <f t="shared" si="191"/>
        <v>0</v>
      </c>
      <c r="HI59" s="234">
        <f t="shared" si="227"/>
        <v>0</v>
      </c>
    </row>
    <row r="60" spans="2:217" ht="15.6" x14ac:dyDescent="0.25">
      <c r="B60">
        <v>56</v>
      </c>
      <c r="C60" s="124">
        <f t="shared" si="38"/>
        <v>80.446650585294265</v>
      </c>
      <c r="D60" s="124">
        <f t="shared" si="39"/>
        <v>174.54081997731805</v>
      </c>
      <c r="E60" s="29">
        <f t="shared" si="40"/>
        <v>2.1751814210390115</v>
      </c>
      <c r="F60" s="29">
        <f t="shared" si="41"/>
        <v>1.9883141546505081</v>
      </c>
      <c r="G60" s="29">
        <f t="shared" si="42"/>
        <v>1.9569626783365619</v>
      </c>
      <c r="H60" s="29">
        <f t="shared" si="43"/>
        <v>1.9874680635208697</v>
      </c>
      <c r="I60" s="29">
        <f t="shared" si="44"/>
        <v>2.0130593568336992</v>
      </c>
      <c r="J60" s="29">
        <f t="shared" si="45"/>
        <v>1.9874680635208699</v>
      </c>
      <c r="K60" s="29">
        <f t="shared" si="46"/>
        <v>1.9749278719308863</v>
      </c>
      <c r="L60" s="125">
        <f t="shared" si="0"/>
        <v>2.0119116585474868</v>
      </c>
      <c r="M60" s="126">
        <f t="shared" si="1"/>
        <v>7.3933916799549609E-2</v>
      </c>
      <c r="N60" s="126">
        <f t="shared" si="47"/>
        <v>3.674809303154329</v>
      </c>
      <c r="P60" s="138">
        <f t="shared" si="48"/>
        <v>422.50144829497225</v>
      </c>
      <c r="Q60" s="138">
        <f t="shared" si="49"/>
        <v>325.79239999999999</v>
      </c>
      <c r="R60" s="138">
        <f t="shared" si="50"/>
        <v>422.50144829497225</v>
      </c>
      <c r="S60" s="138">
        <f t="shared" si="51"/>
        <v>375.25829120704987</v>
      </c>
      <c r="T60" s="138">
        <f t="shared" si="52"/>
        <v>464.12317939881325</v>
      </c>
      <c r="U60" s="138">
        <f t="shared" si="53"/>
        <v>422.50144829497225</v>
      </c>
      <c r="V60" s="138">
        <f t="shared" si="54"/>
        <v>268.44767999999999</v>
      </c>
      <c r="W60" s="138">
        <f t="shared" si="55"/>
        <v>385.87512792725425</v>
      </c>
      <c r="X60" s="138">
        <f t="shared" si="56"/>
        <v>67.895847361926073</v>
      </c>
      <c r="Y60" s="138">
        <f t="shared" si="57"/>
        <v>17.595289887335237</v>
      </c>
      <c r="AA60" s="227">
        <f t="shared" si="228"/>
        <v>0.44150479839999995</v>
      </c>
      <c r="AB60" s="227">
        <f t="shared" si="229"/>
        <v>0.4085591900311526</v>
      </c>
      <c r="AC60" s="227">
        <f t="shared" si="230"/>
        <v>0.47</v>
      </c>
      <c r="AD60" s="227">
        <f t="shared" si="231"/>
        <v>0.44150479839999995</v>
      </c>
      <c r="AE60" s="227">
        <f t="shared" si="62"/>
        <v>0.44039219670778812</v>
      </c>
      <c r="AF60" s="227">
        <f t="shared" si="63"/>
        <v>2.5115984916091835E-2</v>
      </c>
      <c r="AG60" s="227">
        <f t="shared" si="64"/>
        <v>5.7030949012834027</v>
      </c>
      <c r="AI60" s="228">
        <f t="shared" si="65"/>
        <v>4.5052643824643441</v>
      </c>
      <c r="AJ60" s="228">
        <f t="shared" si="66"/>
        <v>4.5052643824643441</v>
      </c>
      <c r="AK60" s="228">
        <f t="shared" si="67"/>
        <v>4.5052643824643441</v>
      </c>
      <c r="AL60" s="228">
        <f t="shared" si="68"/>
        <v>7.2137998157321315</v>
      </c>
      <c r="AM60" s="228">
        <f t="shared" si="69"/>
        <v>4.28</v>
      </c>
      <c r="AN60" s="228">
        <f t="shared" si="70"/>
        <v>5.2290322880441273</v>
      </c>
      <c r="AO60" s="228">
        <f t="shared" si="71"/>
        <v>4.6147971808833157</v>
      </c>
      <c r="AP60" s="228">
        <f t="shared" si="72"/>
        <v>4.9790603474360875</v>
      </c>
      <c r="AQ60" s="228">
        <f t="shared" si="73"/>
        <v>1.0288640447427477</v>
      </c>
      <c r="AR60" s="228">
        <f t="shared" si="74"/>
        <v>20.663819535197035</v>
      </c>
      <c r="AT60" s="229">
        <f t="shared" si="75"/>
        <v>1.4202310097851307</v>
      </c>
      <c r="AU60" s="229">
        <f t="shared" si="76"/>
        <v>1.47</v>
      </c>
      <c r="AV60" s="229">
        <f t="shared" si="77"/>
        <v>1.3291888889575088</v>
      </c>
      <c r="AW60" s="229">
        <f t="shared" si="78"/>
        <v>1.4202310097851307</v>
      </c>
      <c r="AX60" s="229">
        <f t="shared" si="79"/>
        <v>1.0425555749002946</v>
      </c>
      <c r="AY60" s="229">
        <f t="shared" si="80"/>
        <v>1.3</v>
      </c>
      <c r="AZ60" s="229">
        <f t="shared" si="81"/>
        <v>1.2999999999999889</v>
      </c>
      <c r="BA60" s="229">
        <f t="shared" si="82"/>
        <v>1.2191414529510318</v>
      </c>
      <c r="BB60" s="229">
        <f t="shared" si="83"/>
        <v>1.3126684920473857</v>
      </c>
      <c r="BC60" s="229">
        <f t="shared" si="84"/>
        <v>0.13637909024177988</v>
      </c>
      <c r="BD60" s="229">
        <f t="shared" si="85"/>
        <v>10.389454082886356</v>
      </c>
      <c r="BF60" s="230">
        <f t="shared" si="86"/>
        <v>11.73</v>
      </c>
      <c r="BG60" s="230">
        <f t="shared" si="87"/>
        <v>6.27</v>
      </c>
      <c r="BH60" s="230">
        <f t="shared" si="88"/>
        <v>5.6497230769230766</v>
      </c>
      <c r="BI60" s="230">
        <f t="shared" si="192"/>
        <v>7.8832410256410261</v>
      </c>
      <c r="BJ60" s="230">
        <f t="shared" si="193"/>
        <v>3.3457961414936688</v>
      </c>
      <c r="BK60" s="230">
        <f t="shared" si="89"/>
        <v>42.441885648442486</v>
      </c>
      <c r="BM60" s="227">
        <f t="shared" si="90"/>
        <v>31.73</v>
      </c>
      <c r="BN60" s="227">
        <f t="shared" si="91"/>
        <v>24.670725664791661</v>
      </c>
      <c r="BO60" s="227">
        <f t="shared" si="92"/>
        <v>22.884811009418485</v>
      </c>
      <c r="BP60" s="227">
        <f t="shared" si="93"/>
        <v>24.670725664791661</v>
      </c>
      <c r="BQ60" s="227">
        <f t="shared" si="94"/>
        <v>15.17</v>
      </c>
      <c r="BR60" s="227">
        <f t="shared" si="95"/>
        <v>20.484792802883184</v>
      </c>
      <c r="BS60" s="227">
        <f t="shared" si="96"/>
        <v>19.95</v>
      </c>
      <c r="BT60" s="227">
        <f t="shared" si="194"/>
        <v>22.794436448840713</v>
      </c>
      <c r="BU60" s="227">
        <f t="shared" si="195"/>
        <v>5.1389150869778275</v>
      </c>
      <c r="BV60" s="227">
        <f t="shared" si="97"/>
        <v>22.544602488907699</v>
      </c>
      <c r="BX60" s="231">
        <f t="shared" si="98"/>
        <v>0.33579137701279127</v>
      </c>
      <c r="BY60" s="231">
        <f t="shared" si="99"/>
        <v>0.30619681353026079</v>
      </c>
      <c r="BZ60" s="231">
        <f t="shared" si="100"/>
        <v>0.32445606768608592</v>
      </c>
      <c r="CA60" s="231">
        <f t="shared" si="101"/>
        <v>0.24</v>
      </c>
      <c r="CB60" s="231">
        <f t="shared" si="102"/>
        <v>0.37005543773534844</v>
      </c>
      <c r="CC60" s="231">
        <f t="shared" si="103"/>
        <v>0.31824877378451871</v>
      </c>
      <c r="CD60" s="231">
        <f t="shared" si="104"/>
        <v>0.48</v>
      </c>
      <c r="CE60" s="231">
        <f t="shared" si="105"/>
        <v>0.45518912273859452</v>
      </c>
      <c r="CF60" s="231">
        <f t="shared" si="106"/>
        <v>0.35374219906095</v>
      </c>
      <c r="CG60" s="231">
        <f t="shared" si="107"/>
        <v>7.9405088583898178E-2</v>
      </c>
      <c r="CH60" s="231">
        <f t="shared" si="196"/>
        <v>22.447163158562439</v>
      </c>
      <c r="CJ60" s="232">
        <f t="shared" si="108"/>
        <v>1.5117909655483968</v>
      </c>
      <c r="CK60" s="232">
        <f t="shared" si="109"/>
        <v>1.5117909655483968</v>
      </c>
      <c r="CL60" s="232">
        <f t="shared" si="110"/>
        <v>2.1</v>
      </c>
      <c r="CM60" s="232">
        <f t="shared" si="111"/>
        <v>1.8756825906256052</v>
      </c>
      <c r="CN60" s="232">
        <f t="shared" si="112"/>
        <v>1.8720994824095756</v>
      </c>
      <c r="CO60" s="232">
        <f t="shared" si="113"/>
        <v>1.5357031549080373</v>
      </c>
      <c r="CP60" s="232">
        <f t="shared" si="114"/>
        <v>1.5127432286959244</v>
      </c>
      <c r="CQ60" s="232">
        <f t="shared" si="115"/>
        <v>1.8867235043721491</v>
      </c>
      <c r="CR60" s="232">
        <f t="shared" si="116"/>
        <v>4.0303771943232425</v>
      </c>
      <c r="CS60" s="232">
        <f t="shared" si="117"/>
        <v>1.41</v>
      </c>
      <c r="CT60" s="232">
        <f t="shared" si="118"/>
        <v>1.4146971218204458</v>
      </c>
      <c r="CU60" s="232">
        <f t="shared" si="119"/>
        <v>1.8783280189319795</v>
      </c>
      <c r="CV60" s="232">
        <f t="shared" si="120"/>
        <v>0.75063959388014856</v>
      </c>
      <c r="CW60" s="232">
        <f t="shared" si="197"/>
        <v>39.963179291067782</v>
      </c>
      <c r="CY60" s="229">
        <f t="shared" si="198"/>
        <v>1.19</v>
      </c>
      <c r="CZ60" s="229">
        <f t="shared" si="199"/>
        <v>0.77221549575524073</v>
      </c>
      <c r="DA60" s="229">
        <f t="shared" si="200"/>
        <v>0.52230780244536434</v>
      </c>
      <c r="DB60" s="229">
        <f t="shared" si="201"/>
        <v>1.2018470075236183</v>
      </c>
      <c r="DC60" s="229">
        <f t="shared" si="202"/>
        <v>0.57999999999999996</v>
      </c>
      <c r="DD60" s="229">
        <f t="shared" si="203"/>
        <v>0.56312655409705992</v>
      </c>
      <c r="DE60" s="229">
        <f t="shared" si="204"/>
        <v>0.8</v>
      </c>
      <c r="DF60" s="229">
        <f t="shared" si="205"/>
        <v>0.80421383711732619</v>
      </c>
      <c r="DG60" s="229">
        <f t="shared" si="206"/>
        <v>0.28747483574674582</v>
      </c>
      <c r="DH60" s="229">
        <f t="shared" si="207"/>
        <v>35.746069326186728</v>
      </c>
      <c r="DJ60" s="234">
        <f t="shared" si="121"/>
        <v>0.11906104286623551</v>
      </c>
      <c r="DK60" s="234">
        <f t="shared" si="122"/>
        <v>0.16089330117058853</v>
      </c>
      <c r="DL60" s="234">
        <f t="shared" si="123"/>
        <v>0.11664785372817899</v>
      </c>
      <c r="DM60" s="234">
        <f t="shared" si="208"/>
        <v>0.13220073258833434</v>
      </c>
      <c r="DN60" s="234">
        <f t="shared" si="209"/>
        <v>2.4877770988163798E-2</v>
      </c>
      <c r="DO60" s="234">
        <f t="shared" si="210"/>
        <v>18.818179370935699</v>
      </c>
      <c r="DQ60" s="229">
        <f t="shared" si="124"/>
        <v>3.49</v>
      </c>
      <c r="DR60" s="229">
        <f t="shared" si="125"/>
        <v>3.8532848704083862</v>
      </c>
      <c r="DS60" s="229">
        <f t="shared" si="126"/>
        <v>3.0178674878212299</v>
      </c>
      <c r="DT60" s="229">
        <f t="shared" si="127"/>
        <v>2.6780137713354475</v>
      </c>
      <c r="DU60" s="229">
        <f t="shared" si="128"/>
        <v>3.8532848704083862</v>
      </c>
      <c r="DV60" s="229">
        <f t="shared" si="129"/>
        <v>1.97</v>
      </c>
      <c r="DW60" s="229">
        <f t="shared" si="130"/>
        <v>2.1448</v>
      </c>
      <c r="DX60" s="229">
        <f t="shared" si="131"/>
        <v>3.5246609810794229</v>
      </c>
      <c r="DY60" s="229">
        <f t="shared" si="211"/>
        <v>3.066488997631609</v>
      </c>
      <c r="DZ60" s="229">
        <f t="shared" si="212"/>
        <v>0.73992802828819115</v>
      </c>
      <c r="EA60" s="229">
        <f t="shared" si="213"/>
        <v>24.129485834114249</v>
      </c>
      <c r="EC60" s="235">
        <f t="shared" si="132"/>
        <v>0.21494638362763233</v>
      </c>
      <c r="ED60" s="235">
        <f t="shared" si="133"/>
        <v>0.15</v>
      </c>
      <c r="EE60" s="235">
        <f t="shared" si="134"/>
        <v>0.17698263128764738</v>
      </c>
      <c r="EF60" s="235">
        <f t="shared" si="135"/>
        <v>0.14659402215778089</v>
      </c>
      <c r="EG60" s="235">
        <f t="shared" si="136"/>
        <v>0.17213075926826515</v>
      </c>
      <c r="EH60" s="235">
        <f t="shared" si="137"/>
        <v>3.1615469838961199E-2</v>
      </c>
      <c r="EI60" s="235">
        <f t="shared" si="214"/>
        <v>18.367123908219451</v>
      </c>
      <c r="EK60" s="236">
        <f t="shared" si="138"/>
        <v>20.705381659388649</v>
      </c>
      <c r="EL60" s="236">
        <f t="shared" si="139"/>
        <v>31.627262578397971</v>
      </c>
      <c r="EM60" s="236">
        <f t="shared" si="140"/>
        <v>32.305681898261462</v>
      </c>
      <c r="EN60" s="236">
        <f t="shared" si="141"/>
        <v>14.4</v>
      </c>
      <c r="EO60" s="236">
        <f t="shared" si="142"/>
        <v>31.268122470619364</v>
      </c>
      <c r="EP60" s="236">
        <f t="shared" si="143"/>
        <v>32.305681898261462</v>
      </c>
      <c r="EQ60" s="236">
        <f t="shared" si="144"/>
        <v>33.491656121992925</v>
      </c>
      <c r="ER60" s="236">
        <f t="shared" si="145"/>
        <v>28.014826660988835</v>
      </c>
      <c r="ES60" s="236">
        <f t="shared" si="146"/>
        <v>7.4076948326488967</v>
      </c>
      <c r="ET60" s="236">
        <f t="shared" si="215"/>
        <v>26.442051283380774</v>
      </c>
      <c r="EV60" s="238">
        <f t="shared" si="147"/>
        <v>1.6089330117058855E-2</v>
      </c>
      <c r="EW60" s="238">
        <f t="shared" si="148"/>
        <v>1.6089330117058855E-2</v>
      </c>
      <c r="EX60" s="238" t="e">
        <f t="shared" si="149"/>
        <v>#DIV/0!</v>
      </c>
      <c r="EY60" s="238" t="e">
        <f t="shared" si="216"/>
        <v>#DIV/0!</v>
      </c>
      <c r="FA60" s="240">
        <f t="shared" si="150"/>
        <v>0.49876923362882442</v>
      </c>
      <c r="FB60" s="240">
        <f t="shared" si="151"/>
        <v>0.67012059937550128</v>
      </c>
      <c r="FC60" s="240">
        <f t="shared" si="152"/>
        <v>0.58444491650216279</v>
      </c>
      <c r="FD60" s="240">
        <f t="shared" si="153"/>
        <v>0.12116371268505198</v>
      </c>
      <c r="FE60" s="240">
        <f t="shared" si="217"/>
        <v>20.731416984547181</v>
      </c>
      <c r="FG60" s="236">
        <f t="shared" si="154"/>
        <v>1.2</v>
      </c>
      <c r="FH60" s="236">
        <f t="shared" si="155"/>
        <v>1.3827667434490458</v>
      </c>
      <c r="FI60" s="236">
        <f t="shared" si="156"/>
        <v>1.3273697346573554</v>
      </c>
      <c r="FJ60" s="236">
        <f t="shared" si="157"/>
        <v>0.92</v>
      </c>
      <c r="FK60" s="236">
        <f t="shared" si="158"/>
        <v>1.2871464093647083</v>
      </c>
      <c r="FL60" s="236">
        <f t="shared" si="159"/>
        <v>0.9</v>
      </c>
      <c r="FM60" s="236">
        <f t="shared" si="160"/>
        <v>1.1695471479118515</v>
      </c>
      <c r="FN60" s="236">
        <f t="shared" si="161"/>
        <v>0.20978892786846504</v>
      </c>
      <c r="FO60" s="236">
        <f t="shared" si="218"/>
        <v>17.937620406584649</v>
      </c>
      <c r="FQ60" s="227">
        <f t="shared" si="162"/>
        <v>0.32</v>
      </c>
      <c r="FR60" s="227">
        <f t="shared" si="163"/>
        <v>0.34847884676402685</v>
      </c>
      <c r="FS60" s="227">
        <f t="shared" si="164"/>
        <v>0.34847884676402685</v>
      </c>
      <c r="FT60" s="227">
        <f t="shared" si="165"/>
        <v>0.24</v>
      </c>
      <c r="FU60" s="227">
        <f t="shared" si="166"/>
        <v>0.33522119298892117</v>
      </c>
      <c r="FV60" s="227">
        <f t="shared" si="219"/>
        <v>0.31843577730339501</v>
      </c>
      <c r="FW60" s="227">
        <f t="shared" si="220"/>
        <v>4.5391464447626997E-2</v>
      </c>
      <c r="FX60" s="227">
        <f t="shared" si="221"/>
        <v>14.254511484863563</v>
      </c>
      <c r="FZ60" s="230">
        <f t="shared" si="167"/>
        <v>1.6893796622911796</v>
      </c>
      <c r="GA60" s="230">
        <f t="shared" si="168"/>
        <v>2.4700000000000002</v>
      </c>
      <c r="GB60" s="230">
        <f t="shared" si="169"/>
        <v>3.618863113206555</v>
      </c>
      <c r="GC60" s="230">
        <f t="shared" si="170"/>
        <v>2.5927475918325782</v>
      </c>
      <c r="GD60" s="230">
        <f t="shared" si="171"/>
        <v>0.97058066399171539</v>
      </c>
      <c r="GE60" s="230">
        <f t="shared" si="222"/>
        <v>37.43444471992354</v>
      </c>
      <c r="GG60" s="231">
        <f t="shared" si="172"/>
        <v>0.11262531081941198</v>
      </c>
      <c r="GH60" s="231">
        <f t="shared" si="173"/>
        <v>0.05</v>
      </c>
      <c r="GI60" s="231">
        <f t="shared" si="174"/>
        <v>0.05</v>
      </c>
      <c r="GJ60" s="231">
        <f t="shared" si="175"/>
        <v>0.1248532017083767</v>
      </c>
      <c r="GK60" s="245">
        <f t="shared" si="186"/>
        <v>7.495106723612556E-2</v>
      </c>
      <c r="GL60" s="231">
        <f t="shared" si="187"/>
        <v>4.3216516156036659E-2</v>
      </c>
      <c r="GM60" s="231">
        <f t="shared" si="223"/>
        <v>57.659640815903948</v>
      </c>
      <c r="GO60" s="246">
        <f t="shared" si="176"/>
        <v>0.18</v>
      </c>
      <c r="GP60" s="246">
        <f t="shared" si="177"/>
        <v>0.18502729634617682</v>
      </c>
      <c r="GQ60" s="247">
        <f t="shared" si="188"/>
        <v>0.18251364817308841</v>
      </c>
      <c r="GR60" s="246">
        <f t="shared" si="189"/>
        <v>3.554835337415985E-3</v>
      </c>
      <c r="GS60" s="246">
        <f t="shared" si="224"/>
        <v>1.9477093209186886</v>
      </c>
      <c r="GU60" s="249">
        <f t="shared" si="178"/>
        <v>2.2790536110813865E-2</v>
      </c>
      <c r="GV60" s="249">
        <f t="shared" si="179"/>
        <v>2.2790536110813865E-2</v>
      </c>
      <c r="GW60" s="249" t="e">
        <f t="shared" si="180"/>
        <v>#DIV/0!</v>
      </c>
      <c r="GX60" s="249" t="e">
        <f t="shared" si="225"/>
        <v>#DIV/0!</v>
      </c>
      <c r="GZ60" s="240">
        <f t="shared" si="181"/>
        <v>2.4133995175588282E-2</v>
      </c>
      <c r="HA60" s="240">
        <f t="shared" si="182"/>
        <v>2.4133995175588282E-2</v>
      </c>
      <c r="HB60" s="240" t="e">
        <f t="shared" si="183"/>
        <v>#DIV/0!</v>
      </c>
      <c r="HC60" s="240" t="e">
        <f t="shared" si="226"/>
        <v>#DIV/0!</v>
      </c>
      <c r="HE60" s="234">
        <f t="shared" si="184"/>
        <v>9.5301314196500161E-2</v>
      </c>
      <c r="HF60" s="234">
        <f t="shared" si="185"/>
        <v>9.5301314196500161E-2</v>
      </c>
      <c r="HG60" s="251">
        <f t="shared" si="190"/>
        <v>9.5301314196500161E-2</v>
      </c>
      <c r="HH60" s="234">
        <f t="shared" si="191"/>
        <v>0</v>
      </c>
      <c r="HI60" s="234">
        <f t="shared" si="227"/>
        <v>0</v>
      </c>
    </row>
    <row r="61" spans="2:217" ht="15.6" x14ac:dyDescent="0.25">
      <c r="B61">
        <v>57</v>
      </c>
      <c r="C61" s="124">
        <f t="shared" si="38"/>
        <v>80.498004457691422</v>
      </c>
      <c r="D61" s="124">
        <f t="shared" si="39"/>
        <v>174.5547478369574</v>
      </c>
      <c r="E61" s="29">
        <f t="shared" si="40"/>
        <v>2.1758547835973037</v>
      </c>
      <c r="F61" s="29">
        <f t="shared" si="41"/>
        <v>1.9890346975963498</v>
      </c>
      <c r="G61" s="29">
        <f t="shared" si="42"/>
        <v>1.9576067557390042</v>
      </c>
      <c r="H61" s="29">
        <f t="shared" si="43"/>
        <v>1.9881882998526914</v>
      </c>
      <c r="I61" s="29">
        <f t="shared" si="44"/>
        <v>2.0137949713527568</v>
      </c>
      <c r="J61" s="29">
        <f t="shared" si="45"/>
        <v>1.9881882998526916</v>
      </c>
      <c r="K61" s="29">
        <f t="shared" si="46"/>
        <v>1.9756369485905749</v>
      </c>
      <c r="L61" s="125">
        <f t="shared" si="0"/>
        <v>2.0126149652259104</v>
      </c>
      <c r="M61" s="126">
        <f t="shared" si="1"/>
        <v>7.3927059238161105E-2</v>
      </c>
      <c r="N61" s="126">
        <f t="shared" si="47"/>
        <v>3.6731844150757862</v>
      </c>
      <c r="P61" s="138">
        <f t="shared" si="48"/>
        <v>422.64914269744116</v>
      </c>
      <c r="Q61" s="138">
        <f t="shared" si="49"/>
        <v>325.79239999999999</v>
      </c>
      <c r="R61" s="138">
        <f t="shared" si="50"/>
        <v>422.64914269744116</v>
      </c>
      <c r="S61" s="138">
        <f t="shared" si="51"/>
        <v>374.04480270663259</v>
      </c>
      <c r="T61" s="138">
        <f t="shared" si="52"/>
        <v>464.35470402439682</v>
      </c>
      <c r="U61" s="138">
        <f t="shared" si="53"/>
        <v>422.64914269744116</v>
      </c>
      <c r="V61" s="138">
        <f t="shared" si="54"/>
        <v>266.96261999999996</v>
      </c>
      <c r="W61" s="138">
        <f t="shared" si="55"/>
        <v>385.58599354619321</v>
      </c>
      <c r="X61" s="138">
        <f t="shared" si="56"/>
        <v>68.441603444182405</v>
      </c>
      <c r="Y61" s="138">
        <f t="shared" si="57"/>
        <v>17.75002323469592</v>
      </c>
      <c r="AA61" s="227">
        <f t="shared" si="228"/>
        <v>0.44098482495000008</v>
      </c>
      <c r="AB61" s="227">
        <f t="shared" si="229"/>
        <v>0.40869631901840486</v>
      </c>
      <c r="AC61" s="227">
        <f t="shared" si="230"/>
        <v>0.47</v>
      </c>
      <c r="AD61" s="227">
        <f t="shared" si="231"/>
        <v>0.44098482495000008</v>
      </c>
      <c r="AE61" s="227">
        <f t="shared" si="62"/>
        <v>0.44016649222960125</v>
      </c>
      <c r="AF61" s="227">
        <f t="shared" si="63"/>
        <v>2.5044955078895592E-2</v>
      </c>
      <c r="AG61" s="227">
        <f t="shared" si="64"/>
        <v>5.6898822425200759</v>
      </c>
      <c r="AI61" s="228">
        <f t="shared" si="65"/>
        <v>4.5071672596081376</v>
      </c>
      <c r="AJ61" s="228">
        <f t="shared" si="66"/>
        <v>4.5071672596081376</v>
      </c>
      <c r="AK61" s="228">
        <f t="shared" si="67"/>
        <v>4.5071672596081376</v>
      </c>
      <c r="AL61" s="228">
        <f t="shared" si="68"/>
        <v>7.2184033659426872</v>
      </c>
      <c r="AM61" s="228">
        <f t="shared" si="69"/>
        <v>4.28</v>
      </c>
      <c r="AN61" s="228">
        <f t="shared" si="70"/>
        <v>5.2323702897499427</v>
      </c>
      <c r="AO61" s="228">
        <f t="shared" si="71"/>
        <v>4.6165620825480396</v>
      </c>
      <c r="AP61" s="228">
        <f t="shared" si="72"/>
        <v>4.9812625024378701</v>
      </c>
      <c r="AQ61" s="228">
        <f t="shared" si="73"/>
        <v>1.0301236782887135</v>
      </c>
      <c r="AR61" s="228">
        <f t="shared" si="74"/>
        <v>20.679971749823718</v>
      </c>
      <c r="AT61" s="229">
        <f t="shared" si="75"/>
        <v>1.4206573468173707</v>
      </c>
      <c r="AU61" s="229">
        <f t="shared" si="76"/>
        <v>1.47</v>
      </c>
      <c r="AV61" s="229">
        <f t="shared" si="77"/>
        <v>1.3288645408692858</v>
      </c>
      <c r="AW61" s="229">
        <f t="shared" si="78"/>
        <v>1.4206573468173707</v>
      </c>
      <c r="AX61" s="229">
        <f t="shared" si="79"/>
        <v>1.0606935336776568</v>
      </c>
      <c r="AY61" s="229">
        <f t="shared" si="80"/>
        <v>1.3</v>
      </c>
      <c r="AZ61" s="229">
        <f t="shared" si="81"/>
        <v>1.2999999999999938</v>
      </c>
      <c r="BA61" s="229">
        <f t="shared" si="82"/>
        <v>1.2172047711458389</v>
      </c>
      <c r="BB61" s="229">
        <f t="shared" si="83"/>
        <v>1.3147596924159397</v>
      </c>
      <c r="BC61" s="229">
        <f t="shared" si="84"/>
        <v>0.13159971720801342</v>
      </c>
      <c r="BD61" s="229">
        <f t="shared" si="85"/>
        <v>10.009412211762596</v>
      </c>
      <c r="BF61" s="230">
        <f t="shared" si="86"/>
        <v>11.73</v>
      </c>
      <c r="BG61" s="230">
        <f t="shared" si="87"/>
        <v>6.27</v>
      </c>
      <c r="BH61" s="230">
        <f t="shared" si="88"/>
        <v>5.6324923076923081</v>
      </c>
      <c r="BI61" s="230">
        <f t="shared" si="192"/>
        <v>7.8774974358974363</v>
      </c>
      <c r="BJ61" s="230">
        <f t="shared" si="193"/>
        <v>3.351557252867758</v>
      </c>
      <c r="BK61" s="230">
        <f t="shared" si="89"/>
        <v>42.54596437689522</v>
      </c>
      <c r="BM61" s="227">
        <f t="shared" si="90"/>
        <v>31.73</v>
      </c>
      <c r="BN61" s="227">
        <f t="shared" si="91"/>
        <v>24.681292719459371</v>
      </c>
      <c r="BO61" s="227">
        <f t="shared" si="92"/>
        <v>22.889487778796607</v>
      </c>
      <c r="BP61" s="227">
        <f t="shared" si="93"/>
        <v>24.681292719459371</v>
      </c>
      <c r="BQ61" s="227">
        <f t="shared" si="94"/>
        <v>15.17</v>
      </c>
      <c r="BR61" s="227">
        <f t="shared" si="95"/>
        <v>20.306445479901623</v>
      </c>
      <c r="BS61" s="227">
        <f t="shared" si="96"/>
        <v>19.95</v>
      </c>
      <c r="BT61" s="227">
        <f t="shared" si="194"/>
        <v>22.772645528230992</v>
      </c>
      <c r="BU61" s="227">
        <f t="shared" si="195"/>
        <v>5.1540179945676012</v>
      </c>
      <c r="BV61" s="227">
        <f t="shared" si="97"/>
        <v>22.632495588526258</v>
      </c>
      <c r="BX61" s="231">
        <f t="shared" si="98"/>
        <v>0.33592086145240252</v>
      </c>
      <c r="BY61" s="231">
        <f t="shared" si="99"/>
        <v>0.30598144265318344</v>
      </c>
      <c r="BZ61" s="231">
        <f t="shared" si="100"/>
        <v>0.32460818414689357</v>
      </c>
      <c r="CA61" s="231">
        <f t="shared" si="101"/>
        <v>0.24</v>
      </c>
      <c r="CB61" s="231">
        <f t="shared" si="102"/>
        <v>0.37029149842292397</v>
      </c>
      <c r="CC61" s="231">
        <f t="shared" si="103"/>
        <v>0.31836954078222574</v>
      </c>
      <c r="CD61" s="231">
        <f t="shared" si="104"/>
        <v>0.48</v>
      </c>
      <c r="CE61" s="231">
        <f t="shared" si="105"/>
        <v>0.45524429365198105</v>
      </c>
      <c r="CF61" s="231">
        <f t="shared" si="106"/>
        <v>0.3538019776387013</v>
      </c>
      <c r="CG61" s="231">
        <f t="shared" si="107"/>
        <v>7.9420716781502226E-2</v>
      </c>
      <c r="CH61" s="231">
        <f t="shared" si="196"/>
        <v>22.447787689475778</v>
      </c>
      <c r="CJ61" s="232">
        <f t="shared" si="108"/>
        <v>1.5124196224124322</v>
      </c>
      <c r="CK61" s="232">
        <f t="shared" si="109"/>
        <v>1.5124196224124322</v>
      </c>
      <c r="CL61" s="232">
        <f t="shared" si="110"/>
        <v>2.1</v>
      </c>
      <c r="CM61" s="232">
        <f t="shared" si="111"/>
        <v>1.8767333482240203</v>
      </c>
      <c r="CN61" s="232">
        <f t="shared" si="112"/>
        <v>1.8703897719824178</v>
      </c>
      <c r="CO61" s="232">
        <f t="shared" si="113"/>
        <v>1.5364677590051217</v>
      </c>
      <c r="CP61" s="232">
        <f t="shared" si="114"/>
        <v>1.5133722815451043</v>
      </c>
      <c r="CQ61" s="232">
        <f t="shared" si="115"/>
        <v>1.8878675676474035</v>
      </c>
      <c r="CR61" s="232">
        <f t="shared" si="116"/>
        <v>4.0329500233303399</v>
      </c>
      <c r="CS61" s="232">
        <f t="shared" si="117"/>
        <v>1.41</v>
      </c>
      <c r="CT61" s="232">
        <f t="shared" si="118"/>
        <v>1.4151044701329503</v>
      </c>
      <c r="CU61" s="232">
        <f t="shared" si="119"/>
        <v>1.8788840424265656</v>
      </c>
      <c r="CV61" s="232">
        <f t="shared" si="120"/>
        <v>0.75122791723340743</v>
      </c>
      <c r="CW61" s="232">
        <f t="shared" si="197"/>
        <v>39.982665256084765</v>
      </c>
      <c r="CY61" s="229">
        <f t="shared" si="198"/>
        <v>1.19</v>
      </c>
      <c r="CZ61" s="229">
        <f t="shared" si="199"/>
        <v>0.77458159215205757</v>
      </c>
      <c r="DA61" s="229">
        <f t="shared" si="200"/>
        <v>0.5223646459768102</v>
      </c>
      <c r="DB61" s="229">
        <f t="shared" si="201"/>
        <v>1.2024261260770523</v>
      </c>
      <c r="DC61" s="229">
        <f t="shared" si="202"/>
        <v>0.57999999999999996</v>
      </c>
      <c r="DD61" s="229">
        <f t="shared" si="203"/>
        <v>0.56348603120384</v>
      </c>
      <c r="DE61" s="229">
        <f t="shared" si="204"/>
        <v>0.8</v>
      </c>
      <c r="DF61" s="229">
        <f t="shared" si="205"/>
        <v>0.80469405648710857</v>
      </c>
      <c r="DG61" s="229">
        <f t="shared" si="206"/>
        <v>0.28750620007287753</v>
      </c>
      <c r="DH61" s="229">
        <f t="shared" si="207"/>
        <v>35.728634722118571</v>
      </c>
      <c r="DJ61" s="234">
        <f t="shared" si="121"/>
        <v>0.11913704659738331</v>
      </c>
      <c r="DK61" s="234">
        <f t="shared" si="122"/>
        <v>0.16099600891538285</v>
      </c>
      <c r="DL61" s="234">
        <f t="shared" si="123"/>
        <v>0.11669518845221498</v>
      </c>
      <c r="DM61" s="234">
        <f t="shared" si="208"/>
        <v>0.13227608132166038</v>
      </c>
      <c r="DN61" s="234">
        <f t="shared" si="209"/>
        <v>2.490213542132045E-2</v>
      </c>
      <c r="DO61" s="234">
        <f t="shared" si="210"/>
        <v>18.825879306754675</v>
      </c>
      <c r="DQ61" s="229">
        <f t="shared" si="124"/>
        <v>3.49</v>
      </c>
      <c r="DR61" s="229">
        <f t="shared" si="125"/>
        <v>3.854634668467221</v>
      </c>
      <c r="DS61" s="229">
        <f t="shared" si="126"/>
        <v>3.0189224478388654</v>
      </c>
      <c r="DT61" s="229">
        <f t="shared" si="127"/>
        <v>2.6793788703144519</v>
      </c>
      <c r="DU61" s="229">
        <f t="shared" si="128"/>
        <v>3.854634668467221</v>
      </c>
      <c r="DV61" s="229">
        <f t="shared" si="129"/>
        <v>1.97</v>
      </c>
      <c r="DW61" s="229">
        <f t="shared" si="130"/>
        <v>2.1831</v>
      </c>
      <c r="DX61" s="229">
        <f t="shared" si="131"/>
        <v>3.5287287514340582</v>
      </c>
      <c r="DY61" s="229">
        <f t="shared" si="211"/>
        <v>3.072424925815227</v>
      </c>
      <c r="DZ61" s="229">
        <f t="shared" si="212"/>
        <v>0.73386195125353326</v>
      </c>
      <c r="EA61" s="229">
        <f t="shared" si="213"/>
        <v>23.885431506802814</v>
      </c>
      <c r="EC61" s="235">
        <f t="shared" si="132"/>
        <v>0.21506057092829256</v>
      </c>
      <c r="ED61" s="235">
        <f t="shared" si="133"/>
        <v>0.15</v>
      </c>
      <c r="EE61" s="235">
        <f t="shared" si="134"/>
        <v>0.17709560980692113</v>
      </c>
      <c r="EF61" s="235">
        <f t="shared" si="135"/>
        <v>0.14664948552038468</v>
      </c>
      <c r="EG61" s="235">
        <f t="shared" si="136"/>
        <v>0.17220141656389962</v>
      </c>
      <c r="EH61" s="235">
        <f t="shared" si="137"/>
        <v>3.1657881155815429E-2</v>
      </c>
      <c r="EI61" s="235">
        <f t="shared" si="214"/>
        <v>18.384216452753734</v>
      </c>
      <c r="EK61" s="236">
        <f t="shared" si="138"/>
        <v>20.705381659388649</v>
      </c>
      <c r="EL61" s="236">
        <f t="shared" si="139"/>
        <v>31.700493824584186</v>
      </c>
      <c r="EM61" s="236">
        <f t="shared" si="140"/>
        <v>32.380483988339307</v>
      </c>
      <c r="EN61" s="236">
        <f t="shared" si="141"/>
        <v>14.4</v>
      </c>
      <c r="EO61" s="236">
        <f t="shared" si="142"/>
        <v>31.387954661453577</v>
      </c>
      <c r="EP61" s="236">
        <f t="shared" si="143"/>
        <v>32.380483988339307</v>
      </c>
      <c r="EQ61" s="236">
        <f t="shared" si="144"/>
        <v>33.535341759983709</v>
      </c>
      <c r="ER61" s="236">
        <f t="shared" si="145"/>
        <v>28.070019983155532</v>
      </c>
      <c r="ES61" s="236">
        <f t="shared" si="146"/>
        <v>7.442292621976569</v>
      </c>
      <c r="ET61" s="236">
        <f t="shared" si="215"/>
        <v>26.51331429917968</v>
      </c>
      <c r="EV61" s="238">
        <f t="shared" si="147"/>
        <v>1.6099600891538286E-2</v>
      </c>
      <c r="EW61" s="238">
        <f t="shared" si="148"/>
        <v>1.6099600891538286E-2</v>
      </c>
      <c r="EX61" s="238" t="e">
        <f t="shared" si="149"/>
        <v>#DIV/0!</v>
      </c>
      <c r="EY61" s="238" t="e">
        <f t="shared" si="216"/>
        <v>#DIV/0!</v>
      </c>
      <c r="FA61" s="240">
        <f t="shared" si="150"/>
        <v>0.49908762763768683</v>
      </c>
      <c r="FB61" s="240">
        <f t="shared" si="151"/>
        <v>0.67054837713256965</v>
      </c>
      <c r="FC61" s="240">
        <f t="shared" si="152"/>
        <v>0.58481800238512827</v>
      </c>
      <c r="FD61" s="240">
        <f t="shared" si="153"/>
        <v>0.12124105867515921</v>
      </c>
      <c r="FE61" s="240">
        <f t="shared" si="217"/>
        <v>20.731416984547042</v>
      </c>
      <c r="FG61" s="236">
        <f t="shared" si="154"/>
        <v>1.2</v>
      </c>
      <c r="FH61" s="236">
        <f t="shared" si="155"/>
        <v>1.3824147083555181</v>
      </c>
      <c r="FI61" s="236">
        <f t="shared" si="156"/>
        <v>1.3282170735519085</v>
      </c>
      <c r="FJ61" s="236">
        <f t="shared" si="157"/>
        <v>0.92</v>
      </c>
      <c r="FK61" s="236">
        <f t="shared" si="158"/>
        <v>1.2879680713230628</v>
      </c>
      <c r="FL61" s="236">
        <f t="shared" si="159"/>
        <v>0.9</v>
      </c>
      <c r="FM61" s="236">
        <f t="shared" si="160"/>
        <v>1.1697666422050819</v>
      </c>
      <c r="FN61" s="236">
        <f t="shared" si="161"/>
        <v>0.20993750965733024</v>
      </c>
      <c r="FO61" s="236">
        <f t="shared" si="218"/>
        <v>17.946956434112803</v>
      </c>
      <c r="FQ61" s="227">
        <f t="shared" si="162"/>
        <v>0.32</v>
      </c>
      <c r="FR61" s="227">
        <f t="shared" si="163"/>
        <v>0.34861842049834924</v>
      </c>
      <c r="FS61" s="227">
        <f t="shared" si="164"/>
        <v>0.34861842049834924</v>
      </c>
      <c r="FT61" s="227">
        <f t="shared" si="165"/>
        <v>0.24</v>
      </c>
      <c r="FU61" s="227">
        <f t="shared" si="166"/>
        <v>0.33543518457520011</v>
      </c>
      <c r="FV61" s="227">
        <f t="shared" si="219"/>
        <v>0.31853440511437975</v>
      </c>
      <c r="FW61" s="227">
        <f t="shared" si="220"/>
        <v>4.5457488559827147E-2</v>
      </c>
      <c r="FX61" s="227">
        <f t="shared" si="221"/>
        <v>14.270825326860443</v>
      </c>
      <c r="FZ61" s="230">
        <f t="shared" si="167"/>
        <v>1.6904580936115199</v>
      </c>
      <c r="GA61" s="230">
        <f t="shared" si="168"/>
        <v>2.4700000000000002</v>
      </c>
      <c r="GB61" s="230">
        <f t="shared" si="169"/>
        <v>3.621330535939713</v>
      </c>
      <c r="GC61" s="230">
        <f t="shared" si="170"/>
        <v>2.5939295431837444</v>
      </c>
      <c r="GD61" s="230">
        <f t="shared" si="171"/>
        <v>0.9713835472617951</v>
      </c>
      <c r="GE61" s="230">
        <f t="shared" si="222"/>
        <v>37.448339713558127</v>
      </c>
      <c r="GG61" s="231">
        <f t="shared" si="172"/>
        <v>0.112697206240768</v>
      </c>
      <c r="GH61" s="231">
        <f t="shared" si="173"/>
        <v>0.05</v>
      </c>
      <c r="GI61" s="231">
        <f t="shared" si="174"/>
        <v>0.05</v>
      </c>
      <c r="GJ61" s="231">
        <f t="shared" si="175"/>
        <v>0.12493290291833709</v>
      </c>
      <c r="GK61" s="245">
        <f t="shared" si="186"/>
        <v>7.4977634306112359E-2</v>
      </c>
      <c r="GL61" s="231">
        <f t="shared" si="187"/>
        <v>4.3262531671061998E-2</v>
      </c>
      <c r="GM61" s="231">
        <f t="shared" si="223"/>
        <v>57.700582408926614</v>
      </c>
      <c r="GO61" s="246">
        <f t="shared" si="176"/>
        <v>0.18</v>
      </c>
      <c r="GP61" s="246">
        <f t="shared" si="177"/>
        <v>0.18514541025269027</v>
      </c>
      <c r="GQ61" s="247">
        <f t="shared" si="188"/>
        <v>0.18257270512634513</v>
      </c>
      <c r="GR61" s="246">
        <f t="shared" si="189"/>
        <v>3.63835448166408E-3</v>
      </c>
      <c r="GS61" s="246">
        <f t="shared" si="224"/>
        <v>1.9928249839680268</v>
      </c>
      <c r="GU61" s="249">
        <f t="shared" si="178"/>
        <v>2.2805084662863979E-2</v>
      </c>
      <c r="GV61" s="249">
        <f t="shared" si="179"/>
        <v>2.2805084662863979E-2</v>
      </c>
      <c r="GW61" s="249" t="e">
        <f t="shared" si="180"/>
        <v>#DIV/0!</v>
      </c>
      <c r="GX61" s="249" t="e">
        <f t="shared" si="225"/>
        <v>#DIV/0!</v>
      </c>
      <c r="GZ61" s="240">
        <f t="shared" si="181"/>
        <v>2.4149401337307429E-2</v>
      </c>
      <c r="HA61" s="240">
        <f t="shared" si="182"/>
        <v>2.4149401337307429E-2</v>
      </c>
      <c r="HB61" s="240" t="e">
        <f t="shared" si="183"/>
        <v>#DIV/0!</v>
      </c>
      <c r="HC61" s="240" t="e">
        <f t="shared" si="226"/>
        <v>#DIV/0!</v>
      </c>
      <c r="HE61" s="234">
        <f t="shared" si="184"/>
        <v>9.5362425304652776E-2</v>
      </c>
      <c r="HF61" s="234">
        <f t="shared" si="185"/>
        <v>9.5362425304652776E-2</v>
      </c>
      <c r="HG61" s="251">
        <f t="shared" si="190"/>
        <v>9.5362425304652776E-2</v>
      </c>
      <c r="HH61" s="234">
        <f t="shared" si="191"/>
        <v>0</v>
      </c>
      <c r="HI61" s="234">
        <f t="shared" si="227"/>
        <v>0</v>
      </c>
    </row>
    <row r="62" spans="2:217" ht="15.6" x14ac:dyDescent="0.25">
      <c r="B62">
        <v>58</v>
      </c>
      <c r="C62" s="124">
        <f t="shared" si="38"/>
        <v>80.560788183320255</v>
      </c>
      <c r="D62" s="124">
        <f t="shared" si="39"/>
        <v>174.51561776071117</v>
      </c>
      <c r="E62" s="29">
        <f t="shared" si="40"/>
        <v>2.1763136453912284</v>
      </c>
      <c r="F62" s="29">
        <f t="shared" si="41"/>
        <v>1.9896452311574597</v>
      </c>
      <c r="G62" s="29">
        <f t="shared" si="42"/>
        <v>1.9579372351862987</v>
      </c>
      <c r="H62" s="29">
        <f t="shared" si="43"/>
        <v>1.9887985736122864</v>
      </c>
      <c r="I62" s="29">
        <f t="shared" si="44"/>
        <v>2.0144218608963111</v>
      </c>
      <c r="J62" s="29">
        <f t="shared" si="45"/>
        <v>1.9887985736122864</v>
      </c>
      <c r="K62" s="29">
        <f t="shared" si="46"/>
        <v>1.9761857001347833</v>
      </c>
      <c r="L62" s="125">
        <f t="shared" si="0"/>
        <v>2.0131572599986645</v>
      </c>
      <c r="M62" s="126">
        <f t="shared" si="1"/>
        <v>7.3911274956321216E-2</v>
      </c>
      <c r="N62" s="126">
        <f t="shared" si="47"/>
        <v>3.6714108939691203</v>
      </c>
      <c r="P62" s="138">
        <f t="shared" si="48"/>
        <v>422.76302459971953</v>
      </c>
      <c r="Q62" s="138">
        <f t="shared" si="49"/>
        <v>325.79239999999999</v>
      </c>
      <c r="R62" s="138">
        <f t="shared" si="50"/>
        <v>422.76302459971953</v>
      </c>
      <c r="S62" s="138">
        <f t="shared" si="51"/>
        <v>372.81113087894619</v>
      </c>
      <c r="T62" s="138">
        <f t="shared" si="52"/>
        <v>464.637715343374</v>
      </c>
      <c r="U62" s="138">
        <f t="shared" si="53"/>
        <v>422.76302459971953</v>
      </c>
      <c r="V62" s="138">
        <f t="shared" si="54"/>
        <v>265.53431999999998</v>
      </c>
      <c r="W62" s="138">
        <f t="shared" si="55"/>
        <v>385.29494857449691</v>
      </c>
      <c r="X62" s="138">
        <f t="shared" si="56"/>
        <v>68.975662313252556</v>
      </c>
      <c r="Y62" s="138">
        <f t="shared" si="57"/>
        <v>17.90204168739993</v>
      </c>
      <c r="AA62" s="227">
        <f t="shared" si="228"/>
        <v>0.44050595479999999</v>
      </c>
      <c r="AB62" s="227">
        <f t="shared" si="229"/>
        <v>0.40882930513595162</v>
      </c>
      <c r="AC62" s="227">
        <f t="shared" si="230"/>
        <v>0.47</v>
      </c>
      <c r="AD62" s="227">
        <f t="shared" si="231"/>
        <v>0.44050595479999999</v>
      </c>
      <c r="AE62" s="227">
        <f t="shared" si="62"/>
        <v>0.43996030368398786</v>
      </c>
      <c r="AF62" s="227">
        <f t="shared" si="63"/>
        <v>2.498077858165405E-2</v>
      </c>
      <c r="AG62" s="227">
        <f t="shared" si="64"/>
        <v>5.6779619371290142</v>
      </c>
      <c r="AI62" s="228">
        <f t="shared" si="65"/>
        <v>4.508634595050097</v>
      </c>
      <c r="AJ62" s="228">
        <f t="shared" si="66"/>
        <v>4.508634595050097</v>
      </c>
      <c r="AK62" s="228">
        <f t="shared" si="67"/>
        <v>4.508634595050097</v>
      </c>
      <c r="AL62" s="228">
        <f t="shared" si="68"/>
        <v>7.2240315277755585</v>
      </c>
      <c r="AM62" s="228">
        <f t="shared" si="69"/>
        <v>4.28</v>
      </c>
      <c r="AN62" s="228">
        <f t="shared" si="70"/>
        <v>5.236451231915817</v>
      </c>
      <c r="AO62" s="228">
        <f t="shared" si="71"/>
        <v>4.6179229354683464</v>
      </c>
      <c r="AP62" s="228">
        <f t="shared" si="72"/>
        <v>4.9834727829014298</v>
      </c>
      <c r="AQ62" s="228">
        <f t="shared" si="73"/>
        <v>1.0319089225043847</v>
      </c>
      <c r="AR62" s="228">
        <f t="shared" si="74"/>
        <v>20.706623020896618</v>
      </c>
      <c r="AT62" s="229">
        <f t="shared" si="75"/>
        <v>1.4210693050004872</v>
      </c>
      <c r="AU62" s="229">
        <f t="shared" si="76"/>
        <v>1.47</v>
      </c>
      <c r="AV62" s="229">
        <f t="shared" si="77"/>
        <v>1.3281663884769619</v>
      </c>
      <c r="AW62" s="229">
        <f t="shared" si="78"/>
        <v>1.4210693050004872</v>
      </c>
      <c r="AX62" s="229">
        <f t="shared" si="79"/>
        <v>1.0787078438870525</v>
      </c>
      <c r="AY62" s="229">
        <f t="shared" si="80"/>
        <v>1.3</v>
      </c>
      <c r="AZ62" s="229">
        <f t="shared" si="81"/>
        <v>1.2999999999999965</v>
      </c>
      <c r="BA62" s="229">
        <f t="shared" si="82"/>
        <v>1.2152711658798003</v>
      </c>
      <c r="BB62" s="229">
        <f t="shared" si="83"/>
        <v>1.3167855010305982</v>
      </c>
      <c r="BC62" s="229">
        <f t="shared" si="84"/>
        <v>0.12700060067132238</v>
      </c>
      <c r="BD62" s="229">
        <f t="shared" si="85"/>
        <v>9.6447447645743214</v>
      </c>
      <c r="BF62" s="230">
        <f t="shared" si="86"/>
        <v>11.73</v>
      </c>
      <c r="BG62" s="230">
        <f t="shared" si="87"/>
        <v>6.27</v>
      </c>
      <c r="BH62" s="230">
        <f t="shared" si="88"/>
        <v>5.6152615384615387</v>
      </c>
      <c r="BI62" s="230">
        <f t="shared" si="192"/>
        <v>7.8717538461538465</v>
      </c>
      <c r="BJ62" s="230">
        <f t="shared" si="193"/>
        <v>3.3573379560309276</v>
      </c>
      <c r="BK62" s="230">
        <f t="shared" si="89"/>
        <v>42.650443873716007</v>
      </c>
      <c r="BM62" s="227">
        <f t="shared" si="90"/>
        <v>31.73</v>
      </c>
      <c r="BN62" s="227">
        <f t="shared" si="91"/>
        <v>24.68910083780694</v>
      </c>
      <c r="BO62" s="227">
        <f t="shared" si="92"/>
        <v>22.895196154015153</v>
      </c>
      <c r="BP62" s="227">
        <f t="shared" si="93"/>
        <v>24.68910083780694</v>
      </c>
      <c r="BQ62" s="227">
        <f t="shared" si="94"/>
        <v>15.17</v>
      </c>
      <c r="BR62" s="227">
        <f t="shared" si="95"/>
        <v>20.124769338318767</v>
      </c>
      <c r="BS62" s="227">
        <f t="shared" si="96"/>
        <v>19.95</v>
      </c>
      <c r="BT62" s="227">
        <f t="shared" si="194"/>
        <v>22.749738166849681</v>
      </c>
      <c r="BU62" s="227">
        <f t="shared" si="195"/>
        <v>5.1699442548355936</v>
      </c>
      <c r="BV62" s="227">
        <f t="shared" si="97"/>
        <v>22.725291240358541</v>
      </c>
      <c r="BX62" s="231">
        <f t="shared" si="98"/>
        <v>0.33597722757160897</v>
      </c>
      <c r="BY62" s="231">
        <f t="shared" si="99"/>
        <v>0.30580620770572908</v>
      </c>
      <c r="BZ62" s="231">
        <f t="shared" si="100"/>
        <v>0.32479425412661711</v>
      </c>
      <c r="CA62" s="231">
        <f t="shared" si="101"/>
        <v>0.24</v>
      </c>
      <c r="CB62" s="231">
        <f t="shared" si="102"/>
        <v>0.37058016956497203</v>
      </c>
      <c r="CC62" s="231">
        <f t="shared" si="103"/>
        <v>0.31841671085536172</v>
      </c>
      <c r="CD62" s="231">
        <f t="shared" si="104"/>
        <v>0.48</v>
      </c>
      <c r="CE62" s="231">
        <f t="shared" si="105"/>
        <v>0.45508927615209421</v>
      </c>
      <c r="CF62" s="231">
        <f t="shared" si="106"/>
        <v>0.35383298074704783</v>
      </c>
      <c r="CG62" s="231">
        <f t="shared" si="107"/>
        <v>7.940162701858676E-2</v>
      </c>
      <c r="CH62" s="231">
        <f t="shared" si="196"/>
        <v>22.440425663810661</v>
      </c>
      <c r="CJ62" s="232">
        <f t="shared" si="108"/>
        <v>1.5129043573675824</v>
      </c>
      <c r="CK62" s="232">
        <f t="shared" si="109"/>
        <v>1.5129043573675824</v>
      </c>
      <c r="CL62" s="232">
        <f t="shared" si="110"/>
        <v>2.1</v>
      </c>
      <c r="CM62" s="232">
        <f t="shared" si="111"/>
        <v>1.8780672245668124</v>
      </c>
      <c r="CN62" s="232">
        <f t="shared" si="112"/>
        <v>1.8689697569003434</v>
      </c>
      <c r="CO62" s="232">
        <f t="shared" si="113"/>
        <v>1.5374023955836837</v>
      </c>
      <c r="CP62" s="232">
        <f t="shared" si="114"/>
        <v>1.5138573218303197</v>
      </c>
      <c r="CQ62" s="232">
        <f t="shared" si="115"/>
        <v>1.8892658481900468</v>
      </c>
      <c r="CR62" s="232">
        <f t="shared" si="116"/>
        <v>4.0360954879843449</v>
      </c>
      <c r="CS62" s="232">
        <f t="shared" si="117"/>
        <v>1.41</v>
      </c>
      <c r="CT62" s="232">
        <f t="shared" si="118"/>
        <v>1.4152418416686254</v>
      </c>
      <c r="CU62" s="232">
        <f t="shared" si="119"/>
        <v>1.87951896285994</v>
      </c>
      <c r="CV62" s="232">
        <f t="shared" si="120"/>
        <v>0.75201121085479039</v>
      </c>
      <c r="CW62" s="232">
        <f t="shared" si="197"/>
        <v>40.010833926916305</v>
      </c>
      <c r="CY62" s="229">
        <f t="shared" si="198"/>
        <v>1.19</v>
      </c>
      <c r="CZ62" s="229">
        <f t="shared" si="199"/>
        <v>0.77709677549223888</v>
      </c>
      <c r="DA62" s="229">
        <f t="shared" si="200"/>
        <v>0.52220492505871907</v>
      </c>
      <c r="DB62" s="229">
        <f t="shared" si="201"/>
        <v>1.2031338132410974</v>
      </c>
      <c r="DC62" s="229">
        <f t="shared" si="202"/>
        <v>0.57999999999999996</v>
      </c>
      <c r="DD62" s="229">
        <f t="shared" si="203"/>
        <v>0.56392551728324181</v>
      </c>
      <c r="DE62" s="229">
        <f t="shared" si="204"/>
        <v>0.8</v>
      </c>
      <c r="DF62" s="229">
        <f t="shared" si="205"/>
        <v>0.80519443301075666</v>
      </c>
      <c r="DG62" s="229">
        <f t="shared" si="206"/>
        <v>0.28759167210434988</v>
      </c>
      <c r="DH62" s="229">
        <f t="shared" si="207"/>
        <v>35.717046754657325</v>
      </c>
      <c r="DJ62" s="234">
        <f t="shared" si="121"/>
        <v>0.11922996651131397</v>
      </c>
      <c r="DK62" s="234">
        <f t="shared" si="122"/>
        <v>0.16112157636664051</v>
      </c>
      <c r="DL62" s="234">
        <f t="shared" si="123"/>
        <v>0.1167148487067198</v>
      </c>
      <c r="DM62" s="234">
        <f t="shared" si="208"/>
        <v>0.13235546386155808</v>
      </c>
      <c r="DN62" s="234">
        <f t="shared" si="209"/>
        <v>2.4943904583766354E-2</v>
      </c>
      <c r="DO62" s="234">
        <f t="shared" si="210"/>
        <v>18.84614647254557</v>
      </c>
      <c r="DQ62" s="229">
        <f t="shared" si="124"/>
        <v>3.49</v>
      </c>
      <c r="DR62" s="229">
        <f t="shared" si="125"/>
        <v>3.8556754504573179</v>
      </c>
      <c r="DS62" s="229">
        <f t="shared" si="126"/>
        <v>3.0197358899979969</v>
      </c>
      <c r="DT62" s="229">
        <f t="shared" si="127"/>
        <v>2.6810485135273678</v>
      </c>
      <c r="DU62" s="229">
        <f t="shared" si="128"/>
        <v>3.8556754504573179</v>
      </c>
      <c r="DV62" s="229">
        <f t="shared" si="129"/>
        <v>1.97</v>
      </c>
      <c r="DW62" s="229">
        <f t="shared" si="130"/>
        <v>2.2214</v>
      </c>
      <c r="DX62" s="229">
        <f t="shared" si="131"/>
        <v>3.5318684696988516</v>
      </c>
      <c r="DY62" s="229">
        <f t="shared" si="211"/>
        <v>3.0781754717673566</v>
      </c>
      <c r="DZ62" s="229">
        <f t="shared" si="212"/>
        <v>0.7277844365979308</v>
      </c>
      <c r="EA62" s="229">
        <f t="shared" si="213"/>
        <v>23.643370667886849</v>
      </c>
      <c r="EC62" s="235">
        <f t="shared" si="132"/>
        <v>0.2152001330305211</v>
      </c>
      <c r="ED62" s="235">
        <f t="shared" si="133"/>
        <v>0.15</v>
      </c>
      <c r="EE62" s="235">
        <f t="shared" si="134"/>
        <v>0.17723373400330458</v>
      </c>
      <c r="EF62" s="235">
        <f t="shared" si="135"/>
        <v>0.14667252196660238</v>
      </c>
      <c r="EG62" s="235">
        <f t="shared" si="136"/>
        <v>0.17227659725010702</v>
      </c>
      <c r="EH62" s="235">
        <f t="shared" si="137"/>
        <v>3.1721804198633075E-2</v>
      </c>
      <c r="EI62" s="235">
        <f t="shared" si="214"/>
        <v>18.413298558817086</v>
      </c>
      <c r="EK62" s="236">
        <f t="shared" si="138"/>
        <v>20.705381659388649</v>
      </c>
      <c r="EL62" s="236">
        <f t="shared" si="139"/>
        <v>31.793042328699855</v>
      </c>
      <c r="EM62" s="236">
        <f t="shared" si="140"/>
        <v>32.475017700408422</v>
      </c>
      <c r="EN62" s="236">
        <f t="shared" si="141"/>
        <v>14.4</v>
      </c>
      <c r="EO62" s="236">
        <f t="shared" si="142"/>
        <v>31.513724576856013</v>
      </c>
      <c r="EP62" s="236">
        <f t="shared" si="143"/>
        <v>32.475017700408422</v>
      </c>
      <c r="EQ62" s="236">
        <f t="shared" si="144"/>
        <v>33.588767069246998</v>
      </c>
      <c r="ER62" s="236">
        <f t="shared" si="145"/>
        <v>28.135850147858338</v>
      </c>
      <c r="ES62" s="236">
        <f t="shared" si="146"/>
        <v>7.4840005411323869</v>
      </c>
      <c r="ET62" s="236">
        <f t="shared" si="215"/>
        <v>26.599518058998683</v>
      </c>
      <c r="EV62" s="238">
        <f t="shared" si="147"/>
        <v>1.6112157636664053E-2</v>
      </c>
      <c r="EW62" s="238">
        <f t="shared" si="148"/>
        <v>1.6112157636664053E-2</v>
      </c>
      <c r="EX62" s="238" t="e">
        <f t="shared" si="149"/>
        <v>#DIV/0!</v>
      </c>
      <c r="EY62" s="238" t="e">
        <f t="shared" si="216"/>
        <v>#DIV/0!</v>
      </c>
      <c r="FA62" s="240">
        <f t="shared" si="150"/>
        <v>0.49947688673658558</v>
      </c>
      <c r="FB62" s="240">
        <f t="shared" si="151"/>
        <v>0.67107136556705782</v>
      </c>
      <c r="FC62" s="240">
        <f t="shared" si="152"/>
        <v>0.58527412615182173</v>
      </c>
      <c r="FD62" s="240">
        <f t="shared" si="153"/>
        <v>0.1213356195951981</v>
      </c>
      <c r="FE62" s="240">
        <f t="shared" si="217"/>
        <v>20.731416984547053</v>
      </c>
      <c r="FG62" s="236">
        <f t="shared" si="154"/>
        <v>1.2</v>
      </c>
      <c r="FH62" s="236">
        <f t="shared" si="155"/>
        <v>1.3820362187593582</v>
      </c>
      <c r="FI62" s="236">
        <f t="shared" si="156"/>
        <v>1.3292530050247844</v>
      </c>
      <c r="FJ62" s="236">
        <f t="shared" si="157"/>
        <v>0.92</v>
      </c>
      <c r="FK62" s="236">
        <f t="shared" si="158"/>
        <v>1.2889726109331241</v>
      </c>
      <c r="FL62" s="236">
        <f t="shared" si="159"/>
        <v>0.9</v>
      </c>
      <c r="FM62" s="236">
        <f t="shared" si="160"/>
        <v>1.1700436391195443</v>
      </c>
      <c r="FN62" s="236">
        <f t="shared" si="161"/>
        <v>0.21013107737847783</v>
      </c>
      <c r="FO62" s="236">
        <f t="shared" si="218"/>
        <v>17.959251292251039</v>
      </c>
      <c r="FQ62" s="227">
        <f t="shared" si="162"/>
        <v>0.32</v>
      </c>
      <c r="FR62" s="227">
        <f t="shared" si="163"/>
        <v>0.34867970449651375</v>
      </c>
      <c r="FS62" s="227">
        <f t="shared" si="164"/>
        <v>0.34867970449651375</v>
      </c>
      <c r="FT62" s="227">
        <f t="shared" si="165"/>
        <v>0.24</v>
      </c>
      <c r="FU62" s="227">
        <f t="shared" si="166"/>
        <v>0.33569680435989546</v>
      </c>
      <c r="FV62" s="227">
        <f t="shared" si="219"/>
        <v>0.3186112426705846</v>
      </c>
      <c r="FW62" s="227">
        <f t="shared" si="220"/>
        <v>4.5502190421251781E-2</v>
      </c>
      <c r="FX62" s="227">
        <f t="shared" si="221"/>
        <v>14.281413938772072</v>
      </c>
      <c r="FZ62" s="230">
        <f t="shared" si="167"/>
        <v>1.6917765518497254</v>
      </c>
      <c r="GA62" s="230">
        <f t="shared" si="168"/>
        <v>2.4700000000000002</v>
      </c>
      <c r="GB62" s="230">
        <f t="shared" si="169"/>
        <v>3.6242923559094189</v>
      </c>
      <c r="GC62" s="230">
        <f t="shared" si="170"/>
        <v>2.5953563025863815</v>
      </c>
      <c r="GD62" s="230">
        <f t="shared" si="171"/>
        <v>0.97233738238520706</v>
      </c>
      <c r="GE62" s="230">
        <f t="shared" si="222"/>
        <v>37.464504639160026</v>
      </c>
      <c r="GG62" s="231">
        <f t="shared" si="172"/>
        <v>0.11278510345664836</v>
      </c>
      <c r="GH62" s="231">
        <f t="shared" si="173"/>
        <v>0.05</v>
      </c>
      <c r="GI62" s="231">
        <f t="shared" si="174"/>
        <v>0.05</v>
      </c>
      <c r="GJ62" s="231">
        <f t="shared" si="175"/>
        <v>0.12503034326051304</v>
      </c>
      <c r="GK62" s="245">
        <f t="shared" si="186"/>
        <v>7.5010114420171012E-2</v>
      </c>
      <c r="GL62" s="231">
        <f t="shared" si="187"/>
        <v>4.3318788878847221E-2</v>
      </c>
      <c r="GM62" s="231">
        <f t="shared" si="223"/>
        <v>57.750596987755486</v>
      </c>
      <c r="GO62" s="246">
        <f t="shared" si="176"/>
        <v>0.18</v>
      </c>
      <c r="GP62" s="246">
        <f t="shared" si="177"/>
        <v>0.18528981282163659</v>
      </c>
      <c r="GQ62" s="247">
        <f t="shared" si="188"/>
        <v>0.18264490641081829</v>
      </c>
      <c r="GR62" s="246">
        <f t="shared" si="189"/>
        <v>3.7404625173867827E-3</v>
      </c>
      <c r="GS62" s="246">
        <f t="shared" si="224"/>
        <v>2.0479424205641195</v>
      </c>
      <c r="GU62" s="249">
        <f t="shared" si="178"/>
        <v>2.2822871292334627E-2</v>
      </c>
      <c r="GV62" s="249">
        <f t="shared" si="179"/>
        <v>2.2822871292334627E-2</v>
      </c>
      <c r="GW62" s="249" t="e">
        <f t="shared" si="180"/>
        <v>#DIV/0!</v>
      </c>
      <c r="GX62" s="249" t="e">
        <f t="shared" si="225"/>
        <v>#DIV/0!</v>
      </c>
      <c r="GZ62" s="240">
        <f t="shared" si="181"/>
        <v>2.4168236454996078E-2</v>
      </c>
      <c r="HA62" s="240">
        <f t="shared" si="182"/>
        <v>2.4168236454996078E-2</v>
      </c>
      <c r="HB62" s="240" t="e">
        <f t="shared" si="183"/>
        <v>#DIV/0!</v>
      </c>
      <c r="HC62" s="240" t="e">
        <f t="shared" si="226"/>
        <v>#DIV/0!</v>
      </c>
      <c r="HE62" s="234">
        <f t="shared" si="184"/>
        <v>9.543713793815109E-2</v>
      </c>
      <c r="HF62" s="234">
        <f t="shared" si="185"/>
        <v>9.543713793815109E-2</v>
      </c>
      <c r="HG62" s="251">
        <f t="shared" si="190"/>
        <v>9.543713793815109E-2</v>
      </c>
      <c r="HH62" s="234">
        <f t="shared" si="191"/>
        <v>0</v>
      </c>
      <c r="HI62" s="234">
        <f t="shared" si="227"/>
        <v>0</v>
      </c>
    </row>
    <row r="63" spans="2:217" ht="15.6" x14ac:dyDescent="0.25">
      <c r="B63">
        <v>59</v>
      </c>
      <c r="C63" s="124">
        <f t="shared" si="38"/>
        <v>80.636418526490161</v>
      </c>
      <c r="D63" s="124">
        <f t="shared" si="39"/>
        <v>174.41477399172879</v>
      </c>
      <c r="E63" s="29">
        <f t="shared" si="40"/>
        <v>2.1765172311517125</v>
      </c>
      <c r="F63" s="29">
        <f t="shared" si="41"/>
        <v>1.9901214727468011</v>
      </c>
      <c r="G63" s="29">
        <f t="shared" si="42"/>
        <v>1.9578975681124955</v>
      </c>
      <c r="H63" s="29">
        <f t="shared" si="43"/>
        <v>1.989274612545632</v>
      </c>
      <c r="I63" s="29">
        <f t="shared" si="44"/>
        <v>2.0149158158584632</v>
      </c>
      <c r="J63" s="29">
        <f t="shared" si="45"/>
        <v>1.9892746125456322</v>
      </c>
      <c r="K63" s="29">
        <f t="shared" si="46"/>
        <v>1.9765417830701904</v>
      </c>
      <c r="L63" s="125">
        <f t="shared" si="0"/>
        <v>2.013506156575847</v>
      </c>
      <c r="M63" s="126">
        <f t="shared" si="1"/>
        <v>7.3885560703907102E-2</v>
      </c>
      <c r="N63" s="126">
        <f t="shared" si="47"/>
        <v>3.6694976304197802</v>
      </c>
      <c r="P63" s="138">
        <f t="shared" si="48"/>
        <v>422.83629288092789</v>
      </c>
      <c r="Q63" s="138">
        <f t="shared" si="49"/>
        <v>325.79239999999999</v>
      </c>
      <c r="R63" s="138">
        <f t="shared" si="50"/>
        <v>422.83629288092789</v>
      </c>
      <c r="S63" s="138">
        <f t="shared" si="51"/>
        <v>371.5481365536707</v>
      </c>
      <c r="T63" s="138">
        <f t="shared" si="52"/>
        <v>464.97857160603331</v>
      </c>
      <c r="U63" s="138">
        <f t="shared" si="53"/>
        <v>422.83629288092789</v>
      </c>
      <c r="V63" s="138">
        <f t="shared" si="54"/>
        <v>264.16278</v>
      </c>
      <c r="W63" s="138">
        <f t="shared" si="55"/>
        <v>384.99868097178393</v>
      </c>
      <c r="X63" s="138">
        <f t="shared" si="56"/>
        <v>69.497545935262849</v>
      </c>
      <c r="Y63" s="138">
        <f t="shared" si="57"/>
        <v>18.051372477392004</v>
      </c>
      <c r="AA63" s="227">
        <f t="shared" si="228"/>
        <v>0.44007495685000003</v>
      </c>
      <c r="AB63" s="227">
        <f t="shared" si="229"/>
        <v>0.40895833333333331</v>
      </c>
      <c r="AC63" s="227">
        <f t="shared" si="230"/>
        <v>0.47</v>
      </c>
      <c r="AD63" s="227">
        <f t="shared" si="231"/>
        <v>0.44007495685000003</v>
      </c>
      <c r="AE63" s="227">
        <f t="shared" si="62"/>
        <v>0.43977706175833331</v>
      </c>
      <c r="AF63" s="227">
        <f t="shared" si="63"/>
        <v>2.4922529972328106E-2</v>
      </c>
      <c r="AG63" s="227">
        <f t="shared" si="64"/>
        <v>5.6670827424881836</v>
      </c>
      <c r="AI63" s="228">
        <f t="shared" si="65"/>
        <v>4.5095786792134573</v>
      </c>
      <c r="AJ63" s="228">
        <f t="shared" si="66"/>
        <v>4.5095786792134573</v>
      </c>
      <c r="AK63" s="228">
        <f t="shared" si="67"/>
        <v>4.5095786792134573</v>
      </c>
      <c r="AL63" s="228">
        <f t="shared" si="68"/>
        <v>7.2308113035318167</v>
      </c>
      <c r="AM63" s="228">
        <f t="shared" si="69"/>
        <v>4.28</v>
      </c>
      <c r="AN63" s="228">
        <f t="shared" si="70"/>
        <v>5.2413672042218602</v>
      </c>
      <c r="AO63" s="228">
        <f t="shared" si="71"/>
        <v>4.6187984683884462</v>
      </c>
      <c r="AP63" s="228">
        <f t="shared" si="72"/>
        <v>4.9856732876832135</v>
      </c>
      <c r="AQ63" s="228">
        <f t="shared" si="73"/>
        <v>1.0342947871043673</v>
      </c>
      <c r="AR63" s="228">
        <f t="shared" si="74"/>
        <v>20.745338240665035</v>
      </c>
      <c r="AT63" s="229">
        <f t="shared" si="75"/>
        <v>1.4214675996932515</v>
      </c>
      <c r="AU63" s="229">
        <f t="shared" si="76"/>
        <v>1.47</v>
      </c>
      <c r="AV63" s="229">
        <f t="shared" si="77"/>
        <v>1.3270344337831632</v>
      </c>
      <c r="AW63" s="229">
        <f t="shared" si="78"/>
        <v>1.4214675996932515</v>
      </c>
      <c r="AX63" s="229">
        <f t="shared" si="79"/>
        <v>1.0965804172782063</v>
      </c>
      <c r="AY63" s="229">
        <f t="shared" si="80"/>
        <v>1.3</v>
      </c>
      <c r="AZ63" s="229">
        <f t="shared" si="81"/>
        <v>1.299999999999998</v>
      </c>
      <c r="BA63" s="229">
        <f t="shared" si="82"/>
        <v>1.2133406322656426</v>
      </c>
      <c r="BB63" s="229">
        <f t="shared" si="83"/>
        <v>1.318736335339189</v>
      </c>
      <c r="BC63" s="229">
        <f t="shared" si="84"/>
        <v>0.12260306842800998</v>
      </c>
      <c r="BD63" s="229">
        <f t="shared" si="85"/>
        <v>9.2970114754952551</v>
      </c>
      <c r="BF63" s="230">
        <f t="shared" si="86"/>
        <v>11.73</v>
      </c>
      <c r="BG63" s="230">
        <f t="shared" si="87"/>
        <v>6.27</v>
      </c>
      <c r="BH63" s="230">
        <f t="shared" si="88"/>
        <v>5.5980307692307694</v>
      </c>
      <c r="BI63" s="230">
        <f t="shared" si="192"/>
        <v>7.8660102564102559</v>
      </c>
      <c r="BJ63" s="230">
        <f t="shared" si="193"/>
        <v>3.3631381499575959</v>
      </c>
      <c r="BK63" s="230">
        <f t="shared" si="89"/>
        <v>42.75532373247124</v>
      </c>
      <c r="BM63" s="227">
        <f t="shared" si="90"/>
        <v>31.73</v>
      </c>
      <c r="BN63" s="227">
        <f t="shared" si="91"/>
        <v>24.693593094739732</v>
      </c>
      <c r="BO63" s="227">
        <f t="shared" si="92"/>
        <v>22.902059062163211</v>
      </c>
      <c r="BP63" s="227">
        <f t="shared" si="93"/>
        <v>24.693593094739732</v>
      </c>
      <c r="BQ63" s="227">
        <f t="shared" si="94"/>
        <v>15.17</v>
      </c>
      <c r="BR63" s="227">
        <f t="shared" si="95"/>
        <v>19.940016762359509</v>
      </c>
      <c r="BS63" s="227">
        <f t="shared" si="96"/>
        <v>19.95</v>
      </c>
      <c r="BT63" s="227">
        <f t="shared" si="194"/>
        <v>22.725608859143168</v>
      </c>
      <c r="BU63" s="227">
        <f t="shared" si="195"/>
        <v>5.1866313970916336</v>
      </c>
      <c r="BV63" s="227">
        <f t="shared" si="97"/>
        <v>22.822849012491485</v>
      </c>
      <c r="BX63" s="231">
        <f t="shared" si="98"/>
        <v>0.33594760613238717</v>
      </c>
      <c r="BY63" s="231">
        <f t="shared" si="99"/>
        <v>0.3056760836557702</v>
      </c>
      <c r="BZ63" s="231">
        <f t="shared" si="100"/>
        <v>0.32501853939397057</v>
      </c>
      <c r="CA63" s="231">
        <f t="shared" si="101"/>
        <v>0.24</v>
      </c>
      <c r="CB63" s="231">
        <f t="shared" si="102"/>
        <v>0.37092796170233638</v>
      </c>
      <c r="CC63" s="231">
        <f t="shared" si="103"/>
        <v>0.31837728849324104</v>
      </c>
      <c r="CD63" s="231">
        <f t="shared" si="104"/>
        <v>0.48</v>
      </c>
      <c r="CE63" s="231">
        <f t="shared" si="105"/>
        <v>0.45468954797789651</v>
      </c>
      <c r="CF63" s="231">
        <f t="shared" si="106"/>
        <v>0.35382962841945026</v>
      </c>
      <c r="CG63" s="231">
        <f t="shared" si="107"/>
        <v>7.9342567566878963E-2</v>
      </c>
      <c r="CH63" s="231">
        <f t="shared" si="196"/>
        <v>22.423946779499669</v>
      </c>
      <c r="CJ63" s="232">
        <f t="shared" si="108"/>
        <v>1.5132162216435991</v>
      </c>
      <c r="CK63" s="232">
        <f t="shared" si="109"/>
        <v>1.5132162216435991</v>
      </c>
      <c r="CL63" s="232">
        <f t="shared" si="110"/>
        <v>2.1</v>
      </c>
      <c r="CM63" s="232">
        <f t="shared" si="111"/>
        <v>1.8797152928612482</v>
      </c>
      <c r="CN63" s="232">
        <f t="shared" si="112"/>
        <v>1.8678753457631561</v>
      </c>
      <c r="CO63" s="232">
        <f t="shared" si="113"/>
        <v>1.5385280619413817</v>
      </c>
      <c r="CP63" s="232">
        <f t="shared" si="114"/>
        <v>1.5141693825467595</v>
      </c>
      <c r="CQ63" s="232">
        <f t="shared" si="115"/>
        <v>1.8909496267029515</v>
      </c>
      <c r="CR63" s="232">
        <f t="shared" si="116"/>
        <v>4.0398845681771567</v>
      </c>
      <c r="CS63" s="232">
        <f t="shared" si="117"/>
        <v>1.41</v>
      </c>
      <c r="CT63" s="232">
        <f t="shared" si="118"/>
        <v>1.4150624204270601</v>
      </c>
      <c r="CU63" s="232">
        <f t="shared" si="119"/>
        <v>1.8802379219733554</v>
      </c>
      <c r="CV63" s="232">
        <f t="shared" si="120"/>
        <v>0.7530159670269565</v>
      </c>
      <c r="CW63" s="232">
        <f t="shared" si="197"/>
        <v>40.048972431991373</v>
      </c>
      <c r="CY63" s="229">
        <f t="shared" si="198"/>
        <v>1.19</v>
      </c>
      <c r="CZ63" s="229">
        <f t="shared" si="199"/>
        <v>0.77977733246271719</v>
      </c>
      <c r="DA63" s="229">
        <f t="shared" si="200"/>
        <v>0.52179301494371833</v>
      </c>
      <c r="DB63" s="229">
        <f t="shared" si="201"/>
        <v>1.2039858289212595</v>
      </c>
      <c r="DC63" s="229">
        <f t="shared" si="202"/>
        <v>0.57999999999999996</v>
      </c>
      <c r="DD63" s="229">
        <f t="shared" si="203"/>
        <v>0.56445492968543109</v>
      </c>
      <c r="DE63" s="229">
        <f t="shared" si="204"/>
        <v>0.8</v>
      </c>
      <c r="DF63" s="229">
        <f t="shared" si="205"/>
        <v>0.80571587228758934</v>
      </c>
      <c r="DG63" s="229">
        <f t="shared" si="206"/>
        <v>0.28773987516594057</v>
      </c>
      <c r="DH63" s="229">
        <f t="shared" si="207"/>
        <v>35.712325530957855</v>
      </c>
      <c r="DJ63" s="234">
        <f t="shared" si="121"/>
        <v>0.11934189941920544</v>
      </c>
      <c r="DK63" s="234">
        <f t="shared" si="122"/>
        <v>0.16127283705298032</v>
      </c>
      <c r="DL63" s="234">
        <f t="shared" si="123"/>
        <v>0.11670192877903172</v>
      </c>
      <c r="DM63" s="234">
        <f t="shared" si="208"/>
        <v>0.13243888841707249</v>
      </c>
      <c r="DN63" s="234">
        <f t="shared" si="209"/>
        <v>2.5005795462229721E-2</v>
      </c>
      <c r="DO63" s="234">
        <f t="shared" si="210"/>
        <v>18.881006750435894</v>
      </c>
      <c r="DQ63" s="229">
        <f t="shared" si="124"/>
        <v>3.49</v>
      </c>
      <c r="DR63" s="229">
        <f t="shared" si="125"/>
        <v>3.856345059435796</v>
      </c>
      <c r="DS63" s="229">
        <f t="shared" si="126"/>
        <v>3.0202592348637705</v>
      </c>
      <c r="DT63" s="229">
        <f t="shared" si="127"/>
        <v>2.6830608327704417</v>
      </c>
      <c r="DU63" s="229">
        <f t="shared" si="128"/>
        <v>3.856345059435796</v>
      </c>
      <c r="DV63" s="229">
        <f t="shared" si="129"/>
        <v>1.97</v>
      </c>
      <c r="DW63" s="229">
        <f t="shared" si="130"/>
        <v>2.2597</v>
      </c>
      <c r="DX63" s="229">
        <f t="shared" si="131"/>
        <v>3.5338899491642803</v>
      </c>
      <c r="DY63" s="229">
        <f t="shared" si="211"/>
        <v>3.0837000169587601</v>
      </c>
      <c r="DZ63" s="229">
        <f t="shared" si="212"/>
        <v>0.72165995346731293</v>
      </c>
      <c r="EA63" s="229">
        <f t="shared" si="213"/>
        <v>23.402404562653803</v>
      </c>
      <c r="EC63" s="235">
        <f t="shared" si="132"/>
        <v>0.21536819360286871</v>
      </c>
      <c r="ED63" s="235">
        <f t="shared" si="133"/>
        <v>0.15</v>
      </c>
      <c r="EE63" s="235">
        <f t="shared" si="134"/>
        <v>0.17740012075827835</v>
      </c>
      <c r="EF63" s="235">
        <f t="shared" si="135"/>
        <v>0.14665738334165482</v>
      </c>
      <c r="EG63" s="235">
        <f t="shared" si="136"/>
        <v>0.17235642442570046</v>
      </c>
      <c r="EH63" s="235">
        <f t="shared" si="137"/>
        <v>3.1810383976446137E-2</v>
      </c>
      <c r="EI63" s="235">
        <f t="shared" si="214"/>
        <v>18.456163779470248</v>
      </c>
      <c r="EK63" s="236">
        <f t="shared" si="138"/>
        <v>20.705381659388649</v>
      </c>
      <c r="EL63" s="236">
        <f t="shared" si="139"/>
        <v>31.907831059074475</v>
      </c>
      <c r="EM63" s="236">
        <f t="shared" si="140"/>
        <v>32.592268701812543</v>
      </c>
      <c r="EN63" s="236">
        <f t="shared" si="141"/>
        <v>14.4</v>
      </c>
      <c r="EO63" s="236">
        <f t="shared" si="142"/>
        <v>31.646156921816349</v>
      </c>
      <c r="EP63" s="236">
        <f t="shared" si="143"/>
        <v>32.592268701812543</v>
      </c>
      <c r="EQ63" s="236">
        <f t="shared" si="144"/>
        <v>33.65314801796</v>
      </c>
      <c r="ER63" s="236">
        <f t="shared" si="145"/>
        <v>28.213865008837796</v>
      </c>
      <c r="ES63" s="236">
        <f t="shared" si="146"/>
        <v>7.5338440730057235</v>
      </c>
      <c r="ET63" s="236">
        <f t="shared" si="215"/>
        <v>26.702630322523341</v>
      </c>
      <c r="EV63" s="238">
        <f t="shared" si="147"/>
        <v>1.6127283705298034E-2</v>
      </c>
      <c r="EW63" s="238">
        <f t="shared" si="148"/>
        <v>1.6127283705298034E-2</v>
      </c>
      <c r="EX63" s="238" t="e">
        <f t="shared" si="149"/>
        <v>#DIV/0!</v>
      </c>
      <c r="EY63" s="238" t="e">
        <f t="shared" si="216"/>
        <v>#DIV/0!</v>
      </c>
      <c r="FA63" s="240">
        <f t="shared" si="150"/>
        <v>0.49994579486423896</v>
      </c>
      <c r="FB63" s="240">
        <f t="shared" si="151"/>
        <v>0.67170136632566313</v>
      </c>
      <c r="FC63" s="240">
        <f t="shared" si="152"/>
        <v>0.58582358059495099</v>
      </c>
      <c r="FD63" s="240">
        <f t="shared" si="153"/>
        <v>0.12144952928694408</v>
      </c>
      <c r="FE63" s="240">
        <f t="shared" si="217"/>
        <v>20.731416984547174</v>
      </c>
      <c r="FG63" s="236">
        <f t="shared" si="154"/>
        <v>1.2</v>
      </c>
      <c r="FH63" s="236">
        <f t="shared" si="155"/>
        <v>1.3816207699040925</v>
      </c>
      <c r="FI63" s="236">
        <f t="shared" si="156"/>
        <v>1.3305009056870878</v>
      </c>
      <c r="FJ63" s="236">
        <f t="shared" si="157"/>
        <v>0.92</v>
      </c>
      <c r="FK63" s="236">
        <f t="shared" si="158"/>
        <v>1.2901826964238425</v>
      </c>
      <c r="FL63" s="236">
        <f t="shared" si="159"/>
        <v>0.9</v>
      </c>
      <c r="FM63" s="236">
        <f t="shared" si="160"/>
        <v>1.1703840620025039</v>
      </c>
      <c r="FN63" s="236">
        <f t="shared" si="161"/>
        <v>0.21037437414245616</v>
      </c>
      <c r="FO63" s="236">
        <f t="shared" si="218"/>
        <v>17.974815359541875</v>
      </c>
      <c r="FQ63" s="227">
        <f t="shared" si="162"/>
        <v>0.32</v>
      </c>
      <c r="FR63" s="227">
        <f t="shared" si="163"/>
        <v>0.34864876764651653</v>
      </c>
      <c r="FS63" s="227">
        <f t="shared" si="164"/>
        <v>0.34864876764651653</v>
      </c>
      <c r="FT63" s="227">
        <f t="shared" si="165"/>
        <v>0.24</v>
      </c>
      <c r="FU63" s="227">
        <f t="shared" si="166"/>
        <v>0.33601195599988448</v>
      </c>
      <c r="FV63" s="227">
        <f t="shared" si="219"/>
        <v>0.31866189825858349</v>
      </c>
      <c r="FW63" s="227">
        <f t="shared" si="220"/>
        <v>4.5521791289772989E-2</v>
      </c>
      <c r="FX63" s="227">
        <f t="shared" si="221"/>
        <v>14.285294708447879</v>
      </c>
      <c r="FZ63" s="230">
        <f t="shared" si="167"/>
        <v>1.6933647890562935</v>
      </c>
      <c r="GA63" s="230">
        <f t="shared" si="168"/>
        <v>2.4700000000000002</v>
      </c>
      <c r="GB63" s="230">
        <f t="shared" si="169"/>
        <v>3.6278148722262489</v>
      </c>
      <c r="GC63" s="230">
        <f t="shared" si="170"/>
        <v>2.597059887094181</v>
      </c>
      <c r="GD63" s="230">
        <f t="shared" si="171"/>
        <v>0.97346414533373993</v>
      </c>
      <c r="GE63" s="230">
        <f t="shared" si="222"/>
        <v>37.483315273986122</v>
      </c>
      <c r="GG63" s="231">
        <f t="shared" si="172"/>
        <v>0.11289098593708623</v>
      </c>
      <c r="GH63" s="231">
        <f t="shared" si="173"/>
        <v>0.05</v>
      </c>
      <c r="GI63" s="231">
        <f t="shared" si="174"/>
        <v>0.05</v>
      </c>
      <c r="GJ63" s="231">
        <f t="shared" si="175"/>
        <v>0.12514772155311274</v>
      </c>
      <c r="GK63" s="245">
        <f t="shared" si="186"/>
        <v>7.5049240517704244E-2</v>
      </c>
      <c r="GL63" s="231">
        <f t="shared" si="187"/>
        <v>4.3386557267676693E-2</v>
      </c>
      <c r="GM63" s="231">
        <f t="shared" si="223"/>
        <v>57.810787915224452</v>
      </c>
      <c r="GO63" s="246">
        <f t="shared" si="176"/>
        <v>0.18</v>
      </c>
      <c r="GP63" s="246">
        <f t="shared" si="177"/>
        <v>0.18546376261092737</v>
      </c>
      <c r="GQ63" s="247">
        <f t="shared" si="188"/>
        <v>0.18273188130546369</v>
      </c>
      <c r="GR63" s="246">
        <f t="shared" si="189"/>
        <v>3.8634635929802631E-3</v>
      </c>
      <c r="GS63" s="246">
        <f t="shared" si="224"/>
        <v>2.1142799851777947</v>
      </c>
      <c r="GU63" s="249">
        <f t="shared" si="178"/>
        <v>2.2844297368554662E-2</v>
      </c>
      <c r="GV63" s="249">
        <f t="shared" si="179"/>
        <v>2.2844297368554662E-2</v>
      </c>
      <c r="GW63" s="249" t="e">
        <f t="shared" si="180"/>
        <v>#DIV/0!</v>
      </c>
      <c r="GX63" s="249" t="e">
        <f t="shared" si="225"/>
        <v>#DIV/0!</v>
      </c>
      <c r="GZ63" s="240">
        <f t="shared" si="181"/>
        <v>2.4190925557947052E-2</v>
      </c>
      <c r="HA63" s="240">
        <f t="shared" si="182"/>
        <v>2.4190925557947052E-2</v>
      </c>
      <c r="HB63" s="240" t="e">
        <f t="shared" si="183"/>
        <v>#DIV/0!</v>
      </c>
      <c r="HC63" s="240" t="e">
        <f t="shared" si="226"/>
        <v>#DIV/0!</v>
      </c>
      <c r="HE63" s="234">
        <f t="shared" si="184"/>
        <v>9.5527138046523269E-2</v>
      </c>
      <c r="HF63" s="234">
        <f t="shared" si="185"/>
        <v>9.5527138046523269E-2</v>
      </c>
      <c r="HG63" s="251">
        <f t="shared" si="190"/>
        <v>9.5527138046523269E-2</v>
      </c>
      <c r="HH63" s="234">
        <f t="shared" si="191"/>
        <v>0</v>
      </c>
      <c r="HI63" s="234">
        <f t="shared" si="227"/>
        <v>0</v>
      </c>
    </row>
    <row r="64" spans="2:217" ht="15.6" x14ac:dyDescent="0.25">
      <c r="B64">
        <v>60</v>
      </c>
      <c r="C64" s="124">
        <f t="shared" si="38"/>
        <v>80.726083636007388</v>
      </c>
      <c r="D64" s="124">
        <f t="shared" si="39"/>
        <v>174.24487013068813</v>
      </c>
      <c r="E64" s="29">
        <f t="shared" si="40"/>
        <v>2.1764301047321415</v>
      </c>
      <c r="F64" s="29">
        <f t="shared" si="41"/>
        <v>1.9904420259370323</v>
      </c>
      <c r="G64" s="29">
        <f t="shared" si="42"/>
        <v>1.9574389458818873</v>
      </c>
      <c r="H64" s="29">
        <f t="shared" si="43"/>
        <v>1.9895950293302507</v>
      </c>
      <c r="I64" s="29">
        <f t="shared" si="44"/>
        <v>2.015255489125813</v>
      </c>
      <c r="J64" s="29">
        <f t="shared" si="45"/>
        <v>1.9895950293302505</v>
      </c>
      <c r="K64" s="29">
        <f t="shared" si="46"/>
        <v>1.9766769223536067</v>
      </c>
      <c r="L64" s="125">
        <f t="shared" si="0"/>
        <v>2.0136333638129975</v>
      </c>
      <c r="M64" s="126">
        <f t="shared" si="1"/>
        <v>7.3849534548599841E-2</v>
      </c>
      <c r="N64" s="126">
        <f t="shared" si="47"/>
        <v>3.6674767053302615</v>
      </c>
      <c r="P64" s="138">
        <f t="shared" si="48"/>
        <v>422.86300640072949</v>
      </c>
      <c r="Q64" s="138">
        <f t="shared" si="49"/>
        <v>325.79239999999999</v>
      </c>
      <c r="R64" s="138">
        <f t="shared" si="50"/>
        <v>422.86300640072949</v>
      </c>
      <c r="S64" s="138">
        <f t="shared" si="51"/>
        <v>370.24783706117904</v>
      </c>
      <c r="T64" s="138">
        <f t="shared" si="52"/>
        <v>465.38259027709171</v>
      </c>
      <c r="U64" s="138">
        <f t="shared" si="53"/>
        <v>422.86300640072949</v>
      </c>
      <c r="V64" s="138">
        <f t="shared" si="54"/>
        <v>262.84800000000001</v>
      </c>
      <c r="W64" s="138">
        <f t="shared" si="55"/>
        <v>384.69426379149411</v>
      </c>
      <c r="X64" s="138">
        <f t="shared" si="56"/>
        <v>70.006911053468372</v>
      </c>
      <c r="Y64" s="138">
        <f t="shared" si="57"/>
        <v>18.198064708189257</v>
      </c>
      <c r="AA64" s="227">
        <f t="shared" si="228"/>
        <v>0.43969860000000005</v>
      </c>
      <c r="AB64" s="227">
        <f t="shared" si="229"/>
        <v>0.40908357771260995</v>
      </c>
      <c r="AC64" s="227">
        <f t="shared" si="230"/>
        <v>0.47</v>
      </c>
      <c r="AD64" s="227">
        <f t="shared" si="231"/>
        <v>0.43969860000000005</v>
      </c>
      <c r="AE64" s="227">
        <f t="shared" si="62"/>
        <v>0.43962019442815253</v>
      </c>
      <c r="AF64" s="227">
        <f t="shared" si="63"/>
        <v>2.4869190054379878E-2</v>
      </c>
      <c r="AG64" s="227">
        <f t="shared" si="64"/>
        <v>5.6569717154893508</v>
      </c>
      <c r="AI64" s="228">
        <f t="shared" si="65"/>
        <v>4.5099228995416878</v>
      </c>
      <c r="AJ64" s="228">
        <f t="shared" si="66"/>
        <v>4.5099228995416878</v>
      </c>
      <c r="AK64" s="228">
        <f t="shared" si="67"/>
        <v>4.5099228995416878</v>
      </c>
      <c r="AL64" s="228">
        <f t="shared" si="68"/>
        <v>7.2388492009954266</v>
      </c>
      <c r="AM64" s="228">
        <f t="shared" si="69"/>
        <v>4.28</v>
      </c>
      <c r="AN64" s="228">
        <f t="shared" si="70"/>
        <v>5.2471954363404807</v>
      </c>
      <c r="AO64" s="228">
        <f t="shared" si="71"/>
        <v>4.6191176865495978</v>
      </c>
      <c r="AP64" s="228">
        <f t="shared" si="72"/>
        <v>4.9878472889300811</v>
      </c>
      <c r="AQ64" s="228">
        <f t="shared" si="73"/>
        <v>1.0373456141936848</v>
      </c>
      <c r="AR64" s="228">
        <f t="shared" si="74"/>
        <v>20.797461391729993</v>
      </c>
      <c r="AT64" s="229">
        <f t="shared" si="75"/>
        <v>1.4218528995756718</v>
      </c>
      <c r="AU64" s="229">
        <f t="shared" si="76"/>
        <v>1.47</v>
      </c>
      <c r="AV64" s="229">
        <f t="shared" si="77"/>
        <v>1.325417786104496</v>
      </c>
      <c r="AW64" s="229">
        <f t="shared" si="78"/>
        <v>1.4218528995756718</v>
      </c>
      <c r="AX64" s="229">
        <f t="shared" si="79"/>
        <v>1.114294946720974</v>
      </c>
      <c r="AY64" s="229">
        <f t="shared" si="80"/>
        <v>1.3</v>
      </c>
      <c r="AZ64" s="229">
        <f t="shared" si="81"/>
        <v>1.2999999999999989</v>
      </c>
      <c r="BA64" s="229">
        <f t="shared" si="82"/>
        <v>1.2114131654238562</v>
      </c>
      <c r="BB64" s="229">
        <f t="shared" si="83"/>
        <v>1.3206039621750836</v>
      </c>
      <c r="BC64" s="229">
        <f t="shared" si="84"/>
        <v>0.1184302869898817</v>
      </c>
      <c r="BD64" s="229">
        <f t="shared" si="85"/>
        <v>8.967888207364048</v>
      </c>
      <c r="BF64" s="230">
        <f t="shared" si="86"/>
        <v>11.73</v>
      </c>
      <c r="BG64" s="230">
        <f t="shared" si="87"/>
        <v>6.27</v>
      </c>
      <c r="BH64" s="230">
        <f t="shared" si="88"/>
        <v>5.5808</v>
      </c>
      <c r="BI64" s="230">
        <f t="shared" si="192"/>
        <v>7.860266666666667</v>
      </c>
      <c r="BJ64" s="230">
        <f t="shared" si="193"/>
        <v>3.3689577339784678</v>
      </c>
      <c r="BK64" s="230">
        <f t="shared" si="89"/>
        <v>42.860603550072106</v>
      </c>
      <c r="BM64" s="227">
        <f t="shared" si="90"/>
        <v>31.73</v>
      </c>
      <c r="BN64" s="227">
        <f t="shared" si="91"/>
        <v>24.694283109279965</v>
      </c>
      <c r="BO64" s="227">
        <f t="shared" si="92"/>
        <v>22.910176575410205</v>
      </c>
      <c r="BP64" s="227">
        <f t="shared" si="93"/>
        <v>24.694283109279965</v>
      </c>
      <c r="BQ64" s="227">
        <f t="shared" si="94"/>
        <v>15.17</v>
      </c>
      <c r="BR64" s="227">
        <f t="shared" si="95"/>
        <v>19.752364410405338</v>
      </c>
      <c r="BS64" s="227">
        <f t="shared" si="96"/>
        <v>19.95</v>
      </c>
      <c r="BT64" s="227">
        <f t="shared" si="194"/>
        <v>22.700158172053641</v>
      </c>
      <c r="BU64" s="227">
        <f t="shared" si="195"/>
        <v>5.2040266433260722</v>
      </c>
      <c r="BV64" s="227">
        <f t="shared" si="97"/>
        <v>22.925067763328602</v>
      </c>
      <c r="BX64" s="231">
        <f t="shared" si="98"/>
        <v>0.33582107751745532</v>
      </c>
      <c r="BY64" s="231">
        <f t="shared" si="99"/>
        <v>0.30559524268783994</v>
      </c>
      <c r="BZ64" s="231">
        <f t="shared" si="100"/>
        <v>0.32528464787240369</v>
      </c>
      <c r="CA64" s="231">
        <f t="shared" si="101"/>
        <v>0.24</v>
      </c>
      <c r="CB64" s="231">
        <f t="shared" si="102"/>
        <v>0.37134033504843178</v>
      </c>
      <c r="CC64" s="231">
        <f t="shared" si="103"/>
        <v>0.31824010669544284</v>
      </c>
      <c r="CD64" s="231">
        <f t="shared" si="104"/>
        <v>0.48</v>
      </c>
      <c r="CE64" s="231">
        <f t="shared" si="105"/>
        <v>0.45401534012845496</v>
      </c>
      <c r="CF64" s="231">
        <f t="shared" si="106"/>
        <v>0.35378709374375356</v>
      </c>
      <c r="CG64" s="231">
        <f t="shared" si="107"/>
        <v>7.9239445460354371E-2</v>
      </c>
      <c r="CH64" s="231">
        <f t="shared" si="196"/>
        <v>22.397494668855035</v>
      </c>
      <c r="CJ64" s="232">
        <f t="shared" si="108"/>
        <v>1.5133299269520268</v>
      </c>
      <c r="CK64" s="232">
        <f t="shared" si="109"/>
        <v>1.5133299269520268</v>
      </c>
      <c r="CL64" s="232">
        <f t="shared" si="110"/>
        <v>2.1</v>
      </c>
      <c r="CM64" s="232">
        <f t="shared" si="111"/>
        <v>1.8817035190210032</v>
      </c>
      <c r="CN64" s="232">
        <f t="shared" si="112"/>
        <v>1.8671366527964253</v>
      </c>
      <c r="CO64" s="232">
        <f t="shared" si="113"/>
        <v>1.539862317979948</v>
      </c>
      <c r="CP64" s="232">
        <f t="shared" si="114"/>
        <v>1.5142831594771096</v>
      </c>
      <c r="CQ64" s="232">
        <f t="shared" si="115"/>
        <v>1.8929449883783396</v>
      </c>
      <c r="CR64" s="232">
        <f t="shared" si="116"/>
        <v>4.0443767901639704</v>
      </c>
      <c r="CS64" s="232">
        <f t="shared" si="117"/>
        <v>1.41</v>
      </c>
      <c r="CT64" s="232">
        <f t="shared" si="118"/>
        <v>1.4145263837383599</v>
      </c>
      <c r="CU64" s="232">
        <f t="shared" si="119"/>
        <v>1.88104487867811</v>
      </c>
      <c r="CV64" s="232">
        <f t="shared" si="120"/>
        <v>0.7542647309309044</v>
      </c>
      <c r="CW64" s="232">
        <f t="shared" si="197"/>
        <v>40.098178383758615</v>
      </c>
      <c r="CY64" s="229">
        <f t="shared" si="198"/>
        <v>1.19</v>
      </c>
      <c r="CZ64" s="229">
        <f t="shared" si="199"/>
        <v>0.78263699663649966</v>
      </c>
      <c r="DA64" s="229">
        <f t="shared" si="200"/>
        <v>0.52109808485884157</v>
      </c>
      <c r="DB64" s="229">
        <f t="shared" si="201"/>
        <v>1.2049952792757892</v>
      </c>
      <c r="DC64" s="229">
        <f t="shared" si="202"/>
        <v>0.57999999999999996</v>
      </c>
      <c r="DD64" s="229">
        <f t="shared" si="203"/>
        <v>0.5650825854520517</v>
      </c>
      <c r="DE64" s="229">
        <f t="shared" si="204"/>
        <v>0.8</v>
      </c>
      <c r="DF64" s="229">
        <f t="shared" si="205"/>
        <v>0.80625899231759746</v>
      </c>
      <c r="DG64" s="229">
        <f t="shared" si="206"/>
        <v>0.28795858937092345</v>
      </c>
      <c r="DH64" s="229">
        <f t="shared" si="207"/>
        <v>35.715395687331728</v>
      </c>
      <c r="DJ64" s="234">
        <f t="shared" si="121"/>
        <v>0.11947460378129093</v>
      </c>
      <c r="DK64" s="234">
        <f t="shared" si="122"/>
        <v>0.16145216727201478</v>
      </c>
      <c r="DL64" s="234">
        <f t="shared" si="123"/>
        <v>0.11665221061406926</v>
      </c>
      <c r="DM64" s="234">
        <f t="shared" si="208"/>
        <v>0.13252632722245833</v>
      </c>
      <c r="DN64" s="234">
        <f t="shared" si="209"/>
        <v>2.5090230025390056E-2</v>
      </c>
      <c r="DO64" s="234">
        <f t="shared" si="210"/>
        <v>18.932260895809527</v>
      </c>
      <c r="DQ64" s="229">
        <f t="shared" si="124"/>
        <v>3.49</v>
      </c>
      <c r="DR64" s="229">
        <f t="shared" si="125"/>
        <v>3.856589198059118</v>
      </c>
      <c r="DS64" s="229">
        <f t="shared" si="126"/>
        <v>3.020450045719496</v>
      </c>
      <c r="DT64" s="229">
        <f t="shared" si="127"/>
        <v>2.6854480433668537</v>
      </c>
      <c r="DU64" s="229">
        <f t="shared" si="128"/>
        <v>3.856589198059118</v>
      </c>
      <c r="DV64" s="229">
        <f t="shared" si="129"/>
        <v>1.97</v>
      </c>
      <c r="DW64" s="229">
        <f t="shared" si="130"/>
        <v>2.298</v>
      </c>
      <c r="DX64" s="229">
        <f t="shared" si="131"/>
        <v>3.5346272657290458</v>
      </c>
      <c r="DY64" s="229">
        <f t="shared" si="211"/>
        <v>3.0889629688667042</v>
      </c>
      <c r="DZ64" s="229">
        <f t="shared" si="212"/>
        <v>0.7154585223955604</v>
      </c>
      <c r="EA64" s="229">
        <f t="shared" si="213"/>
        <v>23.161770782187517</v>
      </c>
      <c r="EC64" s="235">
        <f t="shared" si="132"/>
        <v>0.21556735871815641</v>
      </c>
      <c r="ED64" s="235">
        <f t="shared" si="133"/>
        <v>0.15</v>
      </c>
      <c r="EE64" s="235">
        <f t="shared" si="134"/>
        <v>0.17759738399921626</v>
      </c>
      <c r="EF64" s="235">
        <f t="shared" si="135"/>
        <v>0.14659912723754792</v>
      </c>
      <c r="EG64" s="235">
        <f t="shared" si="136"/>
        <v>0.17244096748873017</v>
      </c>
      <c r="EH64" s="235">
        <f t="shared" si="137"/>
        <v>3.192633177123546E-2</v>
      </c>
      <c r="EI64" s="235">
        <f t="shared" si="214"/>
        <v>18.51435435336559</v>
      </c>
      <c r="EK64" s="236">
        <f t="shared" si="138"/>
        <v>20.705381659388649</v>
      </c>
      <c r="EL64" s="236">
        <f t="shared" si="139"/>
        <v>32.047382247026434</v>
      </c>
      <c r="EM64" s="236">
        <f t="shared" si="140"/>
        <v>32.73481332689115</v>
      </c>
      <c r="EN64" s="236">
        <f t="shared" si="141"/>
        <v>14.4</v>
      </c>
      <c r="EO64" s="236">
        <f t="shared" si="142"/>
        <v>31.785865046028583</v>
      </c>
      <c r="EP64" s="236">
        <f t="shared" si="143"/>
        <v>32.73481332689115</v>
      </c>
      <c r="EQ64" s="236">
        <f t="shared" si="144"/>
        <v>33.72950960817839</v>
      </c>
      <c r="ER64" s="236">
        <f t="shared" si="145"/>
        <v>28.305395030629199</v>
      </c>
      <c r="ES64" s="236">
        <f t="shared" si="146"/>
        <v>7.5927253110412147</v>
      </c>
      <c r="ET64" s="236">
        <f t="shared" si="215"/>
        <v>26.82430435196239</v>
      </c>
      <c r="EV64" s="238">
        <f t="shared" si="147"/>
        <v>1.614521672720148E-2</v>
      </c>
      <c r="EW64" s="238">
        <f t="shared" si="148"/>
        <v>1.614521672720148E-2</v>
      </c>
      <c r="EX64" s="238" t="e">
        <f t="shared" si="149"/>
        <v>#DIV/0!</v>
      </c>
      <c r="EY64" s="238" t="e">
        <f t="shared" si="216"/>
        <v>#DIV/0!</v>
      </c>
      <c r="FA64" s="240">
        <f t="shared" si="150"/>
        <v>0.50050171854324577</v>
      </c>
      <c r="FB64" s="240">
        <f t="shared" si="151"/>
        <v>0.6724482766879416</v>
      </c>
      <c r="FC64" s="240">
        <f t="shared" si="152"/>
        <v>0.58647499761559363</v>
      </c>
      <c r="FD64" s="240">
        <f t="shared" si="153"/>
        <v>0.12158457726580191</v>
      </c>
      <c r="FE64" s="240">
        <f t="shared" si="217"/>
        <v>20.731416984547192</v>
      </c>
      <c r="FG64" s="236">
        <f t="shared" si="154"/>
        <v>1.2</v>
      </c>
      <c r="FH64" s="236">
        <f t="shared" si="155"/>
        <v>1.3811585321746285</v>
      </c>
      <c r="FI64" s="236">
        <f t="shared" si="156"/>
        <v>1.3319803799941219</v>
      </c>
      <c r="FJ64" s="236">
        <f t="shared" si="157"/>
        <v>0.92</v>
      </c>
      <c r="FK64" s="236">
        <f t="shared" si="158"/>
        <v>1.2916173381761182</v>
      </c>
      <c r="FL64" s="236">
        <f t="shared" si="159"/>
        <v>0.9</v>
      </c>
      <c r="FM64" s="236">
        <f t="shared" si="160"/>
        <v>1.1707927083908114</v>
      </c>
      <c r="FN64" s="236">
        <f t="shared" si="161"/>
        <v>0.21067158130069211</v>
      </c>
      <c r="FO64" s="236">
        <f t="shared" si="218"/>
        <v>17.993926661043893</v>
      </c>
      <c r="FQ64" s="227">
        <f t="shared" si="162"/>
        <v>0.32</v>
      </c>
      <c r="FR64" s="227">
        <f t="shared" si="163"/>
        <v>0.34851362343126246</v>
      </c>
      <c r="FS64" s="227">
        <f t="shared" si="164"/>
        <v>0.34851362343126246</v>
      </c>
      <c r="FT64" s="227">
        <f t="shared" si="165"/>
        <v>0.24</v>
      </c>
      <c r="FU64" s="227">
        <f t="shared" si="166"/>
        <v>0.33638559051124278</v>
      </c>
      <c r="FV64" s="227">
        <f t="shared" si="219"/>
        <v>0.31868256747475354</v>
      </c>
      <c r="FW64" s="227">
        <f t="shared" si="220"/>
        <v>4.5513357590022216E-2</v>
      </c>
      <c r="FX64" s="227">
        <f t="shared" si="221"/>
        <v>14.281721761774072</v>
      </c>
      <c r="FZ64" s="230">
        <f t="shared" si="167"/>
        <v>1.6952477563561552</v>
      </c>
      <c r="GA64" s="230">
        <f t="shared" si="168"/>
        <v>2.4700000000000002</v>
      </c>
      <c r="GB64" s="230">
        <f t="shared" si="169"/>
        <v>3.6319537752106994</v>
      </c>
      <c r="GC64" s="230">
        <f t="shared" si="170"/>
        <v>2.5990671771889517</v>
      </c>
      <c r="GD64" s="230">
        <f t="shared" si="171"/>
        <v>0.97478269529033867</v>
      </c>
      <c r="GE64" s="230">
        <f t="shared" si="222"/>
        <v>37.505098130808037</v>
      </c>
      <c r="GG64" s="231">
        <f t="shared" si="172"/>
        <v>0.11301651709041034</v>
      </c>
      <c r="GH64" s="231">
        <f t="shared" si="173"/>
        <v>0.05</v>
      </c>
      <c r="GI64" s="231">
        <f t="shared" si="174"/>
        <v>0.05</v>
      </c>
      <c r="GJ64" s="231">
        <f t="shared" si="175"/>
        <v>0.12528688180308348</v>
      </c>
      <c r="GK64" s="245">
        <f t="shared" si="186"/>
        <v>7.509562726769449E-2</v>
      </c>
      <c r="GL64" s="231">
        <f t="shared" si="187"/>
        <v>4.3466901475457766E-2</v>
      </c>
      <c r="GM64" s="231">
        <f t="shared" si="223"/>
        <v>57.882067248084446</v>
      </c>
      <c r="GO64" s="246">
        <f t="shared" si="176"/>
        <v>0.18</v>
      </c>
      <c r="GP64" s="246">
        <f t="shared" si="177"/>
        <v>0.18566999236281698</v>
      </c>
      <c r="GQ64" s="247">
        <f t="shared" si="188"/>
        <v>0.18283499618140847</v>
      </c>
      <c r="GR64" s="246">
        <f t="shared" si="189"/>
        <v>4.0092900490238245E-3</v>
      </c>
      <c r="GS64" s="246">
        <f t="shared" si="224"/>
        <v>2.192846081308097</v>
      </c>
      <c r="GU64" s="249">
        <f t="shared" si="178"/>
        <v>2.2869699494080895E-2</v>
      </c>
      <c r="GV64" s="249">
        <f t="shared" si="179"/>
        <v>2.2869699494080895E-2</v>
      </c>
      <c r="GW64" s="249" t="e">
        <f t="shared" si="180"/>
        <v>#DIV/0!</v>
      </c>
      <c r="GX64" s="249" t="e">
        <f t="shared" si="225"/>
        <v>#DIV/0!</v>
      </c>
      <c r="GZ64" s="240">
        <f t="shared" si="181"/>
        <v>2.4217825090802218E-2</v>
      </c>
      <c r="HA64" s="240">
        <f t="shared" si="182"/>
        <v>2.4217825090802218E-2</v>
      </c>
      <c r="HB64" s="240" t="e">
        <f t="shared" si="183"/>
        <v>#DIV/0!</v>
      </c>
      <c r="HC64" s="240" t="e">
        <f t="shared" si="226"/>
        <v>#DIV/0!</v>
      </c>
      <c r="HE64" s="234">
        <f t="shared" si="184"/>
        <v>9.5633839526848771E-2</v>
      </c>
      <c r="HF64" s="234">
        <f t="shared" si="185"/>
        <v>9.5633839526848771E-2</v>
      </c>
      <c r="HG64" s="251">
        <f t="shared" si="190"/>
        <v>9.5633839526848771E-2</v>
      </c>
      <c r="HH64" s="234">
        <f t="shared" si="191"/>
        <v>0</v>
      </c>
      <c r="HI64" s="234">
        <f t="shared" si="227"/>
        <v>0</v>
      </c>
    </row>
    <row r="65" spans="2:217" ht="15.6" x14ac:dyDescent="0.25">
      <c r="B65">
        <v>61</v>
      </c>
      <c r="C65" s="124">
        <f t="shared" si="38"/>
        <v>80.830484785372391</v>
      </c>
      <c r="D65" s="124">
        <f t="shared" si="39"/>
        <v>174.00019117309375</v>
      </c>
      <c r="E65" s="29">
        <f t="shared" si="40"/>
        <v>2.1760212249680912</v>
      </c>
      <c r="F65" s="29">
        <f t="shared" si="41"/>
        <v>1.9905865528175717</v>
      </c>
      <c r="G65" s="29">
        <f t="shared" si="42"/>
        <v>1.9565201616310348</v>
      </c>
      <c r="H65" s="29">
        <f t="shared" si="43"/>
        <v>1.98973949470999</v>
      </c>
      <c r="I65" s="29">
        <f t="shared" si="44"/>
        <v>2.01542050588096</v>
      </c>
      <c r="J65" s="29">
        <f t="shared" si="45"/>
        <v>1.98973949470999</v>
      </c>
      <c r="K65" s="29">
        <f t="shared" si="46"/>
        <v>1.9765654699551614</v>
      </c>
      <c r="L65" s="125">
        <f t="shared" si="0"/>
        <v>2.0135132720961146</v>
      </c>
      <c r="M65" s="126">
        <f t="shared" si="1"/>
        <v>7.3803620564045477E-2</v>
      </c>
      <c r="N65" s="126">
        <f t="shared" si="47"/>
        <v>3.6654151520548051</v>
      </c>
      <c r="P65" s="138">
        <f t="shared" si="48"/>
        <v>422.8377871401841</v>
      </c>
      <c r="Q65" s="138">
        <f t="shared" si="49"/>
        <v>325.79239999999999</v>
      </c>
      <c r="R65" s="138">
        <f t="shared" si="50"/>
        <v>422.8377871401841</v>
      </c>
      <c r="S65" s="138">
        <f t="shared" si="51"/>
        <v>368.90301027859658</v>
      </c>
      <c r="T65" s="138">
        <f t="shared" si="52"/>
        <v>465.85288399487757</v>
      </c>
      <c r="U65" s="138">
        <f t="shared" si="53"/>
        <v>422.8377871401841</v>
      </c>
      <c r="V65" s="138">
        <f t="shared" si="54"/>
        <v>261.58998000000003</v>
      </c>
      <c r="W65" s="138">
        <f t="shared" si="55"/>
        <v>384.37880509914669</v>
      </c>
      <c r="X65" s="138">
        <f t="shared" si="56"/>
        <v>70.503271895475237</v>
      </c>
      <c r="Y65" s="138">
        <f t="shared" si="57"/>
        <v>18.342133062536998</v>
      </c>
      <c r="AA65" s="227">
        <f t="shared" si="228"/>
        <v>0.43938365315</v>
      </c>
      <c r="AB65" s="227">
        <f t="shared" si="229"/>
        <v>0.40920520231213869</v>
      </c>
      <c r="AC65" s="227">
        <f t="shared" si="230"/>
        <v>0.47</v>
      </c>
      <c r="AD65" s="227">
        <f t="shared" si="231"/>
        <v>0.43938365315</v>
      </c>
      <c r="AE65" s="227">
        <f t="shared" si="62"/>
        <v>0.43949312715303462</v>
      </c>
      <c r="AF65" s="227">
        <f t="shared" si="63"/>
        <v>2.4819694137138713E-2</v>
      </c>
      <c r="AG65" s="227">
        <f t="shared" si="64"/>
        <v>5.6473452265150712</v>
      </c>
      <c r="AI65" s="228">
        <f t="shared" si="65"/>
        <v>4.5095979335544065</v>
      </c>
      <c r="AJ65" s="228">
        <f t="shared" si="66"/>
        <v>4.5095979335544065</v>
      </c>
      <c r="AK65" s="228">
        <f t="shared" si="67"/>
        <v>4.5095979335544065</v>
      </c>
      <c r="AL65" s="228">
        <f t="shared" si="68"/>
        <v>7.2482080820880412</v>
      </c>
      <c r="AM65" s="228">
        <f t="shared" si="69"/>
        <v>4.28</v>
      </c>
      <c r="AN65" s="228">
        <f t="shared" si="70"/>
        <v>5.2539815110492052</v>
      </c>
      <c r="AO65" s="228">
        <f t="shared" si="71"/>
        <v>4.6188163243166649</v>
      </c>
      <c r="AP65" s="228">
        <f t="shared" si="72"/>
        <v>4.9899713883024477</v>
      </c>
      <c r="AQ65" s="228">
        <f t="shared" si="73"/>
        <v>1.0411072416648972</v>
      </c>
      <c r="AR65" s="228">
        <f t="shared" si="74"/>
        <v>20.863992208562028</v>
      </c>
      <c r="AT65" s="229">
        <f t="shared" si="75"/>
        <v>1.4222258303952495</v>
      </c>
      <c r="AU65" s="229">
        <f t="shared" si="76"/>
        <v>1.47</v>
      </c>
      <c r="AV65" s="229">
        <f t="shared" si="77"/>
        <v>1.3232773457230544</v>
      </c>
      <c r="AW65" s="229">
        <f t="shared" si="78"/>
        <v>1.4222258303952495</v>
      </c>
      <c r="AX65" s="229">
        <f t="shared" si="79"/>
        <v>1.1318396861226065</v>
      </c>
      <c r="AY65" s="229">
        <f t="shared" si="80"/>
        <v>1.3</v>
      </c>
      <c r="AZ65" s="229">
        <f t="shared" si="81"/>
        <v>1.2999999999999994</v>
      </c>
      <c r="BA65" s="229">
        <f t="shared" si="82"/>
        <v>1.2094887604826836</v>
      </c>
      <c r="BB65" s="229">
        <f t="shared" si="83"/>
        <v>1.3223821816398553</v>
      </c>
      <c r="BC65" s="229">
        <f t="shared" si="84"/>
        <v>0.11450678161960282</v>
      </c>
      <c r="BD65" s="229">
        <f t="shared" si="85"/>
        <v>8.6591291995182225</v>
      </c>
      <c r="BF65" s="230">
        <f t="shared" si="86"/>
        <v>11.73</v>
      </c>
      <c r="BG65" s="230">
        <f t="shared" si="87"/>
        <v>6.27</v>
      </c>
      <c r="BH65" s="230">
        <f t="shared" si="88"/>
        <v>5.5635692307692306</v>
      </c>
      <c r="BI65" s="230">
        <f t="shared" si="192"/>
        <v>7.8545230769230772</v>
      </c>
      <c r="BJ65" s="230">
        <f t="shared" si="193"/>
        <v>3.3747966077832467</v>
      </c>
      <c r="BK65" s="230">
        <f t="shared" si="89"/>
        <v>42.9662829268214</v>
      </c>
      <c r="BM65" s="227">
        <f t="shared" si="90"/>
        <v>31.73</v>
      </c>
      <c r="BN65" s="227">
        <f t="shared" si="91"/>
        <v>24.690731146580539</v>
      </c>
      <c r="BO65" s="227">
        <f t="shared" si="92"/>
        <v>22.91960252196769</v>
      </c>
      <c r="BP65" s="227">
        <f t="shared" si="93"/>
        <v>24.690731146580539</v>
      </c>
      <c r="BQ65" s="227">
        <f t="shared" si="94"/>
        <v>15.17</v>
      </c>
      <c r="BR65" s="227">
        <f t="shared" si="95"/>
        <v>19.561852724055861</v>
      </c>
      <c r="BS65" s="227">
        <f t="shared" si="96"/>
        <v>19.95</v>
      </c>
      <c r="BT65" s="227">
        <f t="shared" si="194"/>
        <v>22.673273934169231</v>
      </c>
      <c r="BU65" s="227">
        <f t="shared" si="195"/>
        <v>5.2220927256375447</v>
      </c>
      <c r="BV65" s="227">
        <f t="shared" si="97"/>
        <v>23.03193063692364</v>
      </c>
      <c r="BX65" s="231">
        <f t="shared" si="98"/>
        <v>0.33558875222235374</v>
      </c>
      <c r="BY65" s="231">
        <f t="shared" si="99"/>
        <v>0.30556614732383519</v>
      </c>
      <c r="BZ65" s="231">
        <f t="shared" si="100"/>
        <v>0.32559476862065806</v>
      </c>
      <c r="CA65" s="231">
        <f t="shared" si="101"/>
        <v>0.24</v>
      </c>
      <c r="CB65" s="231">
        <f t="shared" si="102"/>
        <v>0.37182051123557264</v>
      </c>
      <c r="CC65" s="231">
        <f t="shared" si="103"/>
        <v>0.31799591168044572</v>
      </c>
      <c r="CD65" s="231">
        <f t="shared" si="104"/>
        <v>0.48</v>
      </c>
      <c r="CE65" s="231">
        <f t="shared" si="105"/>
        <v>0.45304278654545171</v>
      </c>
      <c r="CF65" s="231">
        <f t="shared" si="106"/>
        <v>0.35370110970353963</v>
      </c>
      <c r="CG65" s="231">
        <f t="shared" si="107"/>
        <v>7.9089725880829187E-2</v>
      </c>
      <c r="CH65" s="231">
        <f t="shared" si="196"/>
        <v>22.360610049292617</v>
      </c>
      <c r="CJ65" s="232">
        <f t="shared" si="108"/>
        <v>1.513222581914011</v>
      </c>
      <c r="CK65" s="232">
        <f t="shared" si="109"/>
        <v>1.513222581914011</v>
      </c>
      <c r="CL65" s="232">
        <f t="shared" si="110"/>
        <v>2.1</v>
      </c>
      <c r="CM65" s="232">
        <f t="shared" si="111"/>
        <v>1.8840467183039988</v>
      </c>
      <c r="CN65" s="232">
        <f t="shared" si="112"/>
        <v>1.8667714521276559</v>
      </c>
      <c r="CO65" s="232">
        <f t="shared" si="113"/>
        <v>1.5414154419974988</v>
      </c>
      <c r="CP65" s="232">
        <f t="shared" si="114"/>
        <v>1.5141757468234471</v>
      </c>
      <c r="CQ65" s="232">
        <f t="shared" si="115"/>
        <v>1.8952670683110453</v>
      </c>
      <c r="CR65" s="232">
        <f t="shared" si="116"/>
        <v>4.0496072877471567</v>
      </c>
      <c r="CS65" s="232">
        <f t="shared" si="117"/>
        <v>1.41</v>
      </c>
      <c r="CT65" s="232">
        <f t="shared" si="118"/>
        <v>1.413601371604849</v>
      </c>
      <c r="CU65" s="232">
        <f t="shared" si="119"/>
        <v>1.8819391137039703</v>
      </c>
      <c r="CV65" s="232">
        <f t="shared" si="120"/>
        <v>0.75577276952673822</v>
      </c>
      <c r="CW65" s="232">
        <f t="shared" si="197"/>
        <v>40.159257226938188</v>
      </c>
      <c r="CY65" s="229">
        <f t="shared" si="198"/>
        <v>1.19</v>
      </c>
      <c r="CZ65" s="229">
        <f t="shared" si="199"/>
        <v>0.78568400512372372</v>
      </c>
      <c r="DA65" s="229">
        <f t="shared" si="200"/>
        <v>0.52009525122288991</v>
      </c>
      <c r="DB65" s="229">
        <f t="shared" si="201"/>
        <v>1.2061697061938832</v>
      </c>
      <c r="DC65" s="229">
        <f t="shared" si="202"/>
        <v>0.57999999999999996</v>
      </c>
      <c r="DD65" s="229">
        <f t="shared" si="203"/>
        <v>0.56581339349760673</v>
      </c>
      <c r="DE65" s="229">
        <f t="shared" si="204"/>
        <v>0.8</v>
      </c>
      <c r="DF65" s="229">
        <f t="shared" si="205"/>
        <v>0.80682319371972899</v>
      </c>
      <c r="DG65" s="229">
        <f t="shared" si="206"/>
        <v>0.28825420528422724</v>
      </c>
      <c r="DH65" s="229">
        <f t="shared" si="207"/>
        <v>35.72705984755811</v>
      </c>
      <c r="DJ65" s="234">
        <f t="shared" si="121"/>
        <v>0.11962911748235114</v>
      </c>
      <c r="DK65" s="234">
        <f t="shared" si="122"/>
        <v>0.16166096957074477</v>
      </c>
      <c r="DL65" s="234">
        <f t="shared" si="123"/>
        <v>0.11656218880894684</v>
      </c>
      <c r="DM65" s="234">
        <f t="shared" si="208"/>
        <v>0.13261742528734757</v>
      </c>
      <c r="DN65" s="234">
        <f t="shared" si="209"/>
        <v>2.5199149018928849E-2</v>
      </c>
      <c r="DO65" s="234">
        <f t="shared" si="210"/>
        <v>19.001386103167683</v>
      </c>
      <c r="DQ65" s="229">
        <f t="shared" si="124"/>
        <v>3.49</v>
      </c>
      <c r="DR65" s="229">
        <f t="shared" si="125"/>
        <v>3.8563587156809014</v>
      </c>
      <c r="DS65" s="229">
        <f t="shared" si="126"/>
        <v>3.0202699081441717</v>
      </c>
      <c r="DT65" s="229">
        <f t="shared" si="127"/>
        <v>2.688229571855508</v>
      </c>
      <c r="DU65" s="229">
        <f t="shared" si="128"/>
        <v>3.8563587156809014</v>
      </c>
      <c r="DV65" s="229">
        <f t="shared" si="129"/>
        <v>1.97</v>
      </c>
      <c r="DW65" s="229">
        <f t="shared" si="130"/>
        <v>2.3363</v>
      </c>
      <c r="DX65" s="229">
        <f t="shared" si="131"/>
        <v>3.5339311879684114</v>
      </c>
      <c r="DY65" s="229">
        <f t="shared" si="211"/>
        <v>3.0939310124162374</v>
      </c>
      <c r="DZ65" s="229">
        <f t="shared" si="212"/>
        <v>0.70915524107649786</v>
      </c>
      <c r="EA65" s="229">
        <f t="shared" si="213"/>
        <v>22.920848533163504</v>
      </c>
      <c r="EC65" s="235">
        <f t="shared" si="132"/>
        <v>0.21579914283290644</v>
      </c>
      <c r="ED65" s="235">
        <f t="shared" si="133"/>
        <v>0.15</v>
      </c>
      <c r="EE65" s="235">
        <f t="shared" si="134"/>
        <v>0.17782706652781927</v>
      </c>
      <c r="EF65" s="235">
        <f t="shared" si="135"/>
        <v>0.14649364627993294</v>
      </c>
      <c r="EG65" s="235">
        <f t="shared" si="136"/>
        <v>0.17252996391016467</v>
      </c>
      <c r="EH65" s="235">
        <f t="shared" si="137"/>
        <v>3.20716398620641E-2</v>
      </c>
      <c r="EI65" s="235">
        <f t="shared" si="214"/>
        <v>18.589026007542444</v>
      </c>
      <c r="EK65" s="236">
        <f t="shared" si="138"/>
        <v>20.705381659388649</v>
      </c>
      <c r="EL65" s="236">
        <f t="shared" si="139"/>
        <v>32.213584764592255</v>
      </c>
      <c r="EM65" s="236">
        <f t="shared" si="140"/>
        <v>32.904580964854198</v>
      </c>
      <c r="EN65" s="236">
        <f t="shared" si="141"/>
        <v>14.4</v>
      </c>
      <c r="EO65" s="236">
        <f t="shared" si="142"/>
        <v>31.933220740374651</v>
      </c>
      <c r="EP65" s="236">
        <f t="shared" si="143"/>
        <v>32.904580964854198</v>
      </c>
      <c r="EQ65" s="236">
        <f t="shared" si="144"/>
        <v>33.818465882081227</v>
      </c>
      <c r="ER65" s="236">
        <f t="shared" si="145"/>
        <v>28.411402139449311</v>
      </c>
      <c r="ES65" s="236">
        <f t="shared" si="146"/>
        <v>7.6613270255687445</v>
      </c>
      <c r="ET65" s="236">
        <f t="shared" si="215"/>
        <v>26.965677329000847</v>
      </c>
      <c r="EV65" s="238">
        <f t="shared" si="147"/>
        <v>1.616609695707448E-2</v>
      </c>
      <c r="EW65" s="238">
        <f t="shared" si="148"/>
        <v>1.616609695707448E-2</v>
      </c>
      <c r="EX65" s="238" t="e">
        <f t="shared" si="149"/>
        <v>#DIV/0!</v>
      </c>
      <c r="EY65" s="238" t="e">
        <f t="shared" si="216"/>
        <v>#DIV/0!</v>
      </c>
      <c r="FA65" s="240">
        <f t="shared" si="150"/>
        <v>0.50114900566930876</v>
      </c>
      <c r="FB65" s="240">
        <f t="shared" si="151"/>
        <v>0.67331793826215203</v>
      </c>
      <c r="FC65" s="240">
        <f t="shared" si="152"/>
        <v>0.58723347196573039</v>
      </c>
      <c r="FD65" s="240">
        <f t="shared" si="153"/>
        <v>0.12174181974604922</v>
      </c>
      <c r="FE65" s="240">
        <f t="shared" si="217"/>
        <v>20.731416984547128</v>
      </c>
      <c r="FG65" s="236">
        <f t="shared" si="154"/>
        <v>1.2</v>
      </c>
      <c r="FH65" s="236">
        <f t="shared" si="155"/>
        <v>1.3806381392796501</v>
      </c>
      <c r="FI65" s="236">
        <f t="shared" si="156"/>
        <v>1.3337029989586444</v>
      </c>
      <c r="FJ65" s="236">
        <f t="shared" si="157"/>
        <v>0.92</v>
      </c>
      <c r="FK65" s="236">
        <f t="shared" si="158"/>
        <v>1.2932877565659582</v>
      </c>
      <c r="FL65" s="236">
        <f t="shared" si="159"/>
        <v>0.9</v>
      </c>
      <c r="FM65" s="236">
        <f t="shared" si="160"/>
        <v>1.1712714824673756</v>
      </c>
      <c r="FN65" s="236">
        <f t="shared" si="161"/>
        <v>0.21102477034714304</v>
      </c>
      <c r="FO65" s="236">
        <f t="shared" si="218"/>
        <v>18.016725712693248</v>
      </c>
      <c r="FQ65" s="227">
        <f t="shared" si="162"/>
        <v>0.32</v>
      </c>
      <c r="FR65" s="227">
        <f t="shared" si="163"/>
        <v>0.348264279550621</v>
      </c>
      <c r="FS65" s="227">
        <f t="shared" si="164"/>
        <v>0.348264279550621</v>
      </c>
      <c r="FT65" s="227">
        <f t="shared" si="165"/>
        <v>0.24</v>
      </c>
      <c r="FU65" s="227">
        <f t="shared" si="166"/>
        <v>0.33682063010064672</v>
      </c>
      <c r="FV65" s="227">
        <f t="shared" si="219"/>
        <v>0.31866983784037772</v>
      </c>
      <c r="FW65" s="227">
        <f t="shared" si="220"/>
        <v>4.5474789546405769E-2</v>
      </c>
      <c r="FX65" s="227">
        <f t="shared" si="221"/>
        <v>14.270189439511427</v>
      </c>
      <c r="FZ65" s="230">
        <f t="shared" si="167"/>
        <v>1.6974401804928203</v>
      </c>
      <c r="GA65" s="230">
        <f t="shared" si="168"/>
        <v>2.4700000000000002</v>
      </c>
      <c r="GB65" s="230">
        <f t="shared" si="169"/>
        <v>3.6367425660206538</v>
      </c>
      <c r="GC65" s="230">
        <f t="shared" si="170"/>
        <v>2.6013942488378246</v>
      </c>
      <c r="GD65" s="230">
        <f t="shared" si="171"/>
        <v>0.97630516340907891</v>
      </c>
      <c r="GE65" s="230">
        <f t="shared" si="222"/>
        <v>37.530073107728448</v>
      </c>
      <c r="GG65" s="231">
        <f t="shared" si="172"/>
        <v>0.11316267869952135</v>
      </c>
      <c r="GH65" s="231">
        <f t="shared" si="173"/>
        <v>0.05</v>
      </c>
      <c r="GI65" s="231">
        <f t="shared" si="174"/>
        <v>0.05</v>
      </c>
      <c r="GJ65" s="231">
        <f t="shared" si="175"/>
        <v>0.12544891238689795</v>
      </c>
      <c r="GK65" s="245">
        <f t="shared" si="186"/>
        <v>7.5149637462299315E-2</v>
      </c>
      <c r="GL65" s="231">
        <f t="shared" si="187"/>
        <v>4.3560449876640039E-2</v>
      </c>
      <c r="GM65" s="231">
        <f t="shared" si="223"/>
        <v>57.964950128326599</v>
      </c>
      <c r="GO65" s="246">
        <f t="shared" si="176"/>
        <v>0.18</v>
      </c>
      <c r="GP65" s="246">
        <f t="shared" si="177"/>
        <v>0.18591011500635649</v>
      </c>
      <c r="GQ65" s="247">
        <f t="shared" si="188"/>
        <v>0.18295505750317825</v>
      </c>
      <c r="GR65" s="246">
        <f t="shared" si="189"/>
        <v>4.1790823985870511E-3</v>
      </c>
      <c r="GS65" s="246">
        <f t="shared" si="224"/>
        <v>2.2842125577831887</v>
      </c>
      <c r="GU65" s="249">
        <f t="shared" si="178"/>
        <v>2.2899276339696E-2</v>
      </c>
      <c r="GV65" s="249">
        <f t="shared" si="179"/>
        <v>2.2899276339696E-2</v>
      </c>
      <c r="GW65" s="249" t="e">
        <f t="shared" si="180"/>
        <v>#DIV/0!</v>
      </c>
      <c r="GX65" s="249" t="e">
        <f t="shared" si="225"/>
        <v>#DIV/0!</v>
      </c>
      <c r="GZ65" s="240">
        <f t="shared" si="181"/>
        <v>2.424914543561172E-2</v>
      </c>
      <c r="HA65" s="240">
        <f t="shared" si="182"/>
        <v>2.424914543561172E-2</v>
      </c>
      <c r="HB65" s="240" t="e">
        <f t="shared" si="183"/>
        <v>#DIV/0!</v>
      </c>
      <c r="HC65" s="240" t="e">
        <f t="shared" si="226"/>
        <v>#DIV/0!</v>
      </c>
      <c r="HE65" s="234">
        <f t="shared" si="184"/>
        <v>9.5758076894593133E-2</v>
      </c>
      <c r="HF65" s="234">
        <f t="shared" si="185"/>
        <v>9.5758076894593133E-2</v>
      </c>
      <c r="HG65" s="251">
        <f t="shared" si="190"/>
        <v>9.5758076894593133E-2</v>
      </c>
      <c r="HH65" s="234">
        <f t="shared" si="191"/>
        <v>0</v>
      </c>
      <c r="HI65" s="234">
        <f t="shared" si="227"/>
        <v>0</v>
      </c>
    </row>
    <row r="66" spans="2:217" ht="15.6" x14ac:dyDescent="0.25">
      <c r="B66">
        <v>62</v>
      </c>
      <c r="C66" s="124">
        <f t="shared" si="38"/>
        <v>80.949421381563297</v>
      </c>
      <c r="D66" s="124">
        <f t="shared" si="39"/>
        <v>173.67699123445982</v>
      </c>
      <c r="E66" s="29">
        <f t="shared" si="40"/>
        <v>2.1752614157825056</v>
      </c>
      <c r="F66" s="29">
        <f t="shared" si="41"/>
        <v>1.9905321109634739</v>
      </c>
      <c r="G66" s="29">
        <f t="shared" si="42"/>
        <v>1.955106073541764</v>
      </c>
      <c r="H66" s="29">
        <f t="shared" si="43"/>
        <v>1.9896850760226386</v>
      </c>
      <c r="I66" s="29">
        <f t="shared" si="44"/>
        <v>2.0153876953410927</v>
      </c>
      <c r="J66" s="29">
        <f t="shared" si="45"/>
        <v>1.9896850760226386</v>
      </c>
      <c r="K66" s="29">
        <f t="shared" si="46"/>
        <v>1.9761812183350242</v>
      </c>
      <c r="L66" s="125">
        <f t="shared" si="0"/>
        <v>2.013119809429877</v>
      </c>
      <c r="M66" s="126">
        <f t="shared" si="1"/>
        <v>7.3749208428103785E-2</v>
      </c>
      <c r="N66" s="126">
        <f t="shared" si="47"/>
        <v>3.6634286783452716</v>
      </c>
      <c r="P66" s="138">
        <f t="shared" si="48"/>
        <v>422.75515998027413</v>
      </c>
      <c r="Q66" s="138">
        <f t="shared" si="49"/>
        <v>325.79239999999999</v>
      </c>
      <c r="R66" s="138">
        <f t="shared" si="50"/>
        <v>422.75515998027413</v>
      </c>
      <c r="S66" s="138">
        <f t="shared" si="51"/>
        <v>367.50631083756639</v>
      </c>
      <c r="T66" s="138">
        <f t="shared" si="52"/>
        <v>466.38849354767865</v>
      </c>
      <c r="U66" s="138">
        <f t="shared" si="53"/>
        <v>422.75515998027413</v>
      </c>
      <c r="V66" s="138">
        <f t="shared" si="54"/>
        <v>260.38871999999998</v>
      </c>
      <c r="W66" s="138">
        <f t="shared" si="55"/>
        <v>384.04877204658106</v>
      </c>
      <c r="X66" s="138">
        <f t="shared" si="56"/>
        <v>70.985502647305523</v>
      </c>
      <c r="Y66" s="138">
        <f t="shared" si="57"/>
        <v>18.483460386821839</v>
      </c>
      <c r="AA66" s="227">
        <f t="shared" si="228"/>
        <v>0.43913688519999999</v>
      </c>
      <c r="AB66" s="227">
        <f t="shared" si="229"/>
        <v>0.40932336182336182</v>
      </c>
      <c r="AC66" s="227">
        <f t="shared" si="230"/>
        <v>0.47</v>
      </c>
      <c r="AD66" s="227">
        <f t="shared" si="231"/>
        <v>0.43913688519999999</v>
      </c>
      <c r="AE66" s="227">
        <f t="shared" si="62"/>
        <v>0.43939928305584042</v>
      </c>
      <c r="AF66" s="227">
        <f t="shared" si="63"/>
        <v>2.4772986771537595E-2</v>
      </c>
      <c r="AG66" s="227">
        <f t="shared" si="64"/>
        <v>5.637921527602801</v>
      </c>
      <c r="AI66" s="228">
        <f t="shared" si="65"/>
        <v>4.5085332590528289</v>
      </c>
      <c r="AJ66" s="228">
        <f t="shared" si="66"/>
        <v>4.5085332590528289</v>
      </c>
      <c r="AK66" s="228">
        <f t="shared" si="67"/>
        <v>4.5085332590528289</v>
      </c>
      <c r="AL66" s="228">
        <f t="shared" si="68"/>
        <v>7.2588699617502623</v>
      </c>
      <c r="AM66" s="228">
        <f t="shared" si="69"/>
        <v>4.28</v>
      </c>
      <c r="AN66" s="228">
        <f t="shared" si="70"/>
        <v>5.2617123898016143</v>
      </c>
      <c r="AO66" s="228">
        <f t="shared" si="71"/>
        <v>4.6178289557391254</v>
      </c>
      <c r="AP66" s="228">
        <f t="shared" si="72"/>
        <v>4.9920015834927849</v>
      </c>
      <c r="AQ66" s="228">
        <f t="shared" si="73"/>
        <v>1.0455949212330475</v>
      </c>
      <c r="AR66" s="228">
        <f t="shared" si="74"/>
        <v>20.945404438383004</v>
      </c>
      <c r="AT66" s="229">
        <f t="shared" si="75"/>
        <v>1.4225869783581406</v>
      </c>
      <c r="AU66" s="229">
        <f t="shared" si="76"/>
        <v>1.47</v>
      </c>
      <c r="AV66" s="229">
        <f t="shared" si="77"/>
        <v>1.320588934853804</v>
      </c>
      <c r="AW66" s="229">
        <f t="shared" si="78"/>
        <v>1.4225869783581406</v>
      </c>
      <c r="AX66" s="229">
        <f t="shared" si="79"/>
        <v>1.1492119252831028</v>
      </c>
      <c r="AY66" s="229">
        <f t="shared" si="80"/>
        <v>1.3</v>
      </c>
      <c r="AZ66" s="229">
        <f t="shared" si="81"/>
        <v>1.2999999999999996</v>
      </c>
      <c r="BA66" s="229">
        <f t="shared" si="82"/>
        <v>1.2075674125781055</v>
      </c>
      <c r="BB66" s="229">
        <f t="shared" si="83"/>
        <v>1.3240677786789117</v>
      </c>
      <c r="BC66" s="229">
        <f t="shared" si="84"/>
        <v>0.11085756736487901</v>
      </c>
      <c r="BD66" s="229">
        <f t="shared" si="85"/>
        <v>8.3724994407376272</v>
      </c>
      <c r="BF66" s="230">
        <f t="shared" si="86"/>
        <v>11.73</v>
      </c>
      <c r="BG66" s="230">
        <f t="shared" si="87"/>
        <v>6.27</v>
      </c>
      <c r="BH66" s="230">
        <f t="shared" si="88"/>
        <v>5.5463384615384621</v>
      </c>
      <c r="BI66" s="230">
        <f t="shared" si="192"/>
        <v>7.8487794871794874</v>
      </c>
      <c r="BJ66" s="230">
        <f t="shared" si="193"/>
        <v>3.3806546714233017</v>
      </c>
      <c r="BK66" s="230">
        <f t="shared" si="89"/>
        <v>43.072361466459839</v>
      </c>
      <c r="BM66" s="227">
        <f t="shared" si="90"/>
        <v>31.73</v>
      </c>
      <c r="BN66" s="227">
        <f t="shared" si="91"/>
        <v>24.682490526259805</v>
      </c>
      <c r="BO66" s="227">
        <f t="shared" si="92"/>
        <v>22.930307593023052</v>
      </c>
      <c r="BP66" s="227">
        <f t="shared" si="93"/>
        <v>24.682490526259805</v>
      </c>
      <c r="BQ66" s="227">
        <f t="shared" si="94"/>
        <v>15.17</v>
      </c>
      <c r="BR66" s="227">
        <f t="shared" si="95"/>
        <v>19.368292446023933</v>
      </c>
      <c r="BS66" s="227">
        <f t="shared" si="96"/>
        <v>19.95</v>
      </c>
      <c r="BT66" s="227">
        <f t="shared" si="194"/>
        <v>22.644797298795229</v>
      </c>
      <c r="BU66" s="227">
        <f t="shared" si="195"/>
        <v>5.2408145489434297</v>
      </c>
      <c r="BV66" s="227">
        <f t="shared" si="97"/>
        <v>23.143570153406746</v>
      </c>
      <c r="BX66" s="231">
        <f t="shared" si="98"/>
        <v>0.33524356225475382</v>
      </c>
      <c r="BY66" s="231">
        <f t="shared" si="99"/>
        <v>0.30558809318135954</v>
      </c>
      <c r="BZ66" s="231">
        <f t="shared" si="100"/>
        <v>0.32594843453206701</v>
      </c>
      <c r="CA66" s="231">
        <f t="shared" si="101"/>
        <v>0.24</v>
      </c>
      <c r="CB66" s="231">
        <f t="shared" si="102"/>
        <v>0.37236756414799926</v>
      </c>
      <c r="CC66" s="231">
        <f t="shared" si="103"/>
        <v>0.31763719970147297</v>
      </c>
      <c r="CD66" s="231">
        <f t="shared" si="104"/>
        <v>0.48</v>
      </c>
      <c r="CE66" s="231">
        <f t="shared" si="105"/>
        <v>0.45175518472099763</v>
      </c>
      <c r="CF66" s="231">
        <f t="shared" si="106"/>
        <v>0.35356750481733124</v>
      </c>
      <c r="CG66" s="231">
        <f t="shared" si="107"/>
        <v>7.8892881613854479E-2</v>
      </c>
      <c r="CH66" s="231">
        <f t="shared" si="196"/>
        <v>22.313385856716124</v>
      </c>
      <c r="CJ66" s="232">
        <f t="shared" si="108"/>
        <v>1.5128708818470835</v>
      </c>
      <c r="CK66" s="232">
        <f t="shared" si="109"/>
        <v>1.5128708818470835</v>
      </c>
      <c r="CL66" s="232">
        <f t="shared" si="110"/>
        <v>2.1</v>
      </c>
      <c r="CM66" s="232">
        <f t="shared" si="111"/>
        <v>1.8867388627460402</v>
      </c>
      <c r="CN66" s="232">
        <f t="shared" si="112"/>
        <v>1.8667746596264125</v>
      </c>
      <c r="CO66" s="232">
        <f t="shared" si="113"/>
        <v>1.5431842649804091</v>
      </c>
      <c r="CP66" s="232">
        <f t="shared" si="114"/>
        <v>1.5138238252239002</v>
      </c>
      <c r="CQ66" s="232">
        <f t="shared" si="115"/>
        <v>1.8979108398087732</v>
      </c>
      <c r="CR66" s="232">
        <f t="shared" si="116"/>
        <v>4.055566011216321</v>
      </c>
      <c r="CS66" s="232">
        <f t="shared" si="117"/>
        <v>1.41</v>
      </c>
      <c r="CT66" s="232">
        <f t="shared" si="118"/>
        <v>1.4122620865467845</v>
      </c>
      <c r="CU66" s="232">
        <f t="shared" si="119"/>
        <v>1.8829093012584373</v>
      </c>
      <c r="CV66" s="232">
        <f t="shared" si="120"/>
        <v>0.75754284695144525</v>
      </c>
      <c r="CW66" s="232">
        <f t="shared" si="197"/>
        <v>40.232572352005675</v>
      </c>
      <c r="CY66" s="229">
        <f t="shared" si="198"/>
        <v>1.19</v>
      </c>
      <c r="CZ66" s="229">
        <f t="shared" si="199"/>
        <v>0.78891635146601713</v>
      </c>
      <c r="DA66" s="229">
        <f t="shared" si="200"/>
        <v>0.51876685536798905</v>
      </c>
      <c r="DB66" s="229">
        <f t="shared" si="201"/>
        <v>1.2075064362956272</v>
      </c>
      <c r="DC66" s="229">
        <f t="shared" si="202"/>
        <v>0.57999999999999996</v>
      </c>
      <c r="DD66" s="229">
        <f t="shared" si="203"/>
        <v>0.56664594967094306</v>
      </c>
      <c r="DE66" s="229">
        <f t="shared" si="204"/>
        <v>0.8</v>
      </c>
      <c r="DF66" s="229">
        <f t="shared" si="205"/>
        <v>0.80740508468579653</v>
      </c>
      <c r="DG66" s="229">
        <f t="shared" si="206"/>
        <v>0.28863087452585151</v>
      </c>
      <c r="DH66" s="229">
        <f t="shared" si="207"/>
        <v>35.747963444913509</v>
      </c>
      <c r="DJ66" s="234">
        <f t="shared" si="121"/>
        <v>0.11980514364471367</v>
      </c>
      <c r="DK66" s="234">
        <f t="shared" si="122"/>
        <v>0.1618988427631266</v>
      </c>
      <c r="DL66" s="234">
        <f t="shared" si="123"/>
        <v>0.11642899733047296</v>
      </c>
      <c r="DM66" s="234">
        <f t="shared" si="208"/>
        <v>0.13271099457943775</v>
      </c>
      <c r="DN66" s="234">
        <f t="shared" si="209"/>
        <v>2.5333721640914547E-2</v>
      </c>
      <c r="DO66" s="234">
        <f t="shared" si="210"/>
        <v>19.089391742709278</v>
      </c>
      <c r="DQ66" s="229">
        <f t="shared" si="124"/>
        <v>3.49</v>
      </c>
      <c r="DR66" s="229">
        <f t="shared" si="125"/>
        <v>3.855603574625011</v>
      </c>
      <c r="DS66" s="229">
        <f t="shared" si="126"/>
        <v>3.0196797141448153</v>
      </c>
      <c r="DT66" s="229">
        <f t="shared" si="127"/>
        <v>2.6914009583530216</v>
      </c>
      <c r="DU66" s="229">
        <f t="shared" si="128"/>
        <v>3.855603574625011</v>
      </c>
      <c r="DV66" s="229">
        <f t="shared" si="129"/>
        <v>1.97</v>
      </c>
      <c r="DW66" s="229">
        <f t="shared" si="130"/>
        <v>2.3746</v>
      </c>
      <c r="DX66" s="229">
        <f t="shared" si="131"/>
        <v>3.531651552768083</v>
      </c>
      <c r="DY66" s="229">
        <f t="shared" si="211"/>
        <v>3.0985674218144927</v>
      </c>
      <c r="DZ66" s="229">
        <f t="shared" si="212"/>
        <v>0.70272834152648056</v>
      </c>
      <c r="EA66" s="229">
        <f t="shared" si="213"/>
        <v>22.679136706180472</v>
      </c>
      <c r="EC66" s="235">
        <f t="shared" si="132"/>
        <v>0.21606304957188238</v>
      </c>
      <c r="ED66" s="235">
        <f t="shared" si="133"/>
        <v>0.15</v>
      </c>
      <c r="EE66" s="235">
        <f t="shared" si="134"/>
        <v>0.17808872703943926</v>
      </c>
      <c r="EF66" s="235">
        <f t="shared" si="135"/>
        <v>0.14633758226103802</v>
      </c>
      <c r="EG66" s="235">
        <f t="shared" si="136"/>
        <v>0.17262233971808991</v>
      </c>
      <c r="EH66" s="235">
        <f t="shared" si="137"/>
        <v>3.2247146601651032E-2</v>
      </c>
      <c r="EI66" s="235">
        <f t="shared" si="214"/>
        <v>18.680749348151547</v>
      </c>
      <c r="EK66" s="236">
        <f t="shared" si="138"/>
        <v>20.705381659388649</v>
      </c>
      <c r="EL66" s="236">
        <f t="shared" si="139"/>
        <v>32.407349887333524</v>
      </c>
      <c r="EM66" s="236">
        <f t="shared" si="140"/>
        <v>33.102502438542928</v>
      </c>
      <c r="EN66" s="236">
        <f t="shared" si="141"/>
        <v>14.4</v>
      </c>
      <c r="EO66" s="236">
        <f t="shared" si="142"/>
        <v>32.088143711424365</v>
      </c>
      <c r="EP66" s="236">
        <f t="shared" si="143"/>
        <v>33.102502438542928</v>
      </c>
      <c r="EQ66" s="236">
        <f t="shared" si="144"/>
        <v>33.919865232830986</v>
      </c>
      <c r="ER66" s="236">
        <f t="shared" si="145"/>
        <v>28.532249338294768</v>
      </c>
      <c r="ES66" s="236">
        <f t="shared" si="146"/>
        <v>7.739960700896872</v>
      </c>
      <c r="ET66" s="236">
        <f t="shared" si="215"/>
        <v>27.127061063877033</v>
      </c>
      <c r="EV66" s="238">
        <f t="shared" si="147"/>
        <v>1.6189884276312662E-2</v>
      </c>
      <c r="EW66" s="238">
        <f t="shared" si="148"/>
        <v>1.6189884276312662E-2</v>
      </c>
      <c r="EX66" s="238" t="e">
        <f t="shared" si="149"/>
        <v>#DIV/0!</v>
      </c>
      <c r="EY66" s="238" t="e">
        <f t="shared" si="216"/>
        <v>#DIV/0!</v>
      </c>
      <c r="FA66" s="240">
        <f t="shared" si="150"/>
        <v>0.50188641256569244</v>
      </c>
      <c r="FB66" s="240">
        <f t="shared" si="151"/>
        <v>0.67430868010842226</v>
      </c>
      <c r="FC66" s="240">
        <f t="shared" si="152"/>
        <v>0.58809754633705735</v>
      </c>
      <c r="FD66" s="240">
        <f t="shared" si="153"/>
        <v>0.12192095460702551</v>
      </c>
      <c r="FE66" s="240">
        <f t="shared" si="217"/>
        <v>20.731416984547106</v>
      </c>
      <c r="FG66" s="236">
        <f t="shared" si="154"/>
        <v>1.2</v>
      </c>
      <c r="FH66" s="236">
        <f t="shared" si="155"/>
        <v>1.380042740613173</v>
      </c>
      <c r="FI66" s="236">
        <f t="shared" si="156"/>
        <v>1.3356654527957945</v>
      </c>
      <c r="FJ66" s="236">
        <f t="shared" si="157"/>
        <v>0.92</v>
      </c>
      <c r="FK66" s="236">
        <f t="shared" si="158"/>
        <v>1.2951907421050128</v>
      </c>
      <c r="FL66" s="236">
        <f t="shared" si="159"/>
        <v>0.9</v>
      </c>
      <c r="FM66" s="236">
        <f t="shared" si="160"/>
        <v>1.1718164892523302</v>
      </c>
      <c r="FN66" s="236">
        <f t="shared" si="161"/>
        <v>0.2114312745285854</v>
      </c>
      <c r="FO66" s="236">
        <f t="shared" si="218"/>
        <v>18.043036300290307</v>
      </c>
      <c r="FQ66" s="227">
        <f t="shared" si="162"/>
        <v>0.32</v>
      </c>
      <c r="FR66" s="227">
        <f t="shared" si="163"/>
        <v>0.34789249443954706</v>
      </c>
      <c r="FS66" s="227">
        <f t="shared" si="164"/>
        <v>0.34789249443954706</v>
      </c>
      <c r="FT66" s="227">
        <f t="shared" si="165"/>
        <v>0.24</v>
      </c>
      <c r="FU66" s="227">
        <f t="shared" si="166"/>
        <v>0.33731623889697426</v>
      </c>
      <c r="FV66" s="227">
        <f t="shared" si="219"/>
        <v>0.31862024555521373</v>
      </c>
      <c r="FW66" s="227">
        <f t="shared" si="220"/>
        <v>4.5404614330532764E-2</v>
      </c>
      <c r="FX66" s="227">
        <f t="shared" si="221"/>
        <v>14.250385832015372</v>
      </c>
      <c r="FZ66" s="230">
        <f t="shared" si="167"/>
        <v>1.6999378490128294</v>
      </c>
      <c r="GA66" s="230">
        <f t="shared" si="168"/>
        <v>2.4700000000000002</v>
      </c>
      <c r="GB66" s="230">
        <f t="shared" si="169"/>
        <v>3.6421739183733042</v>
      </c>
      <c r="GC66" s="230">
        <f t="shared" si="170"/>
        <v>2.6040372557953781</v>
      </c>
      <c r="GD66" s="230">
        <f t="shared" si="171"/>
        <v>0.97803104589633205</v>
      </c>
      <c r="GE66" s="230">
        <f t="shared" si="222"/>
        <v>37.558258574054157</v>
      </c>
      <c r="GG66" s="231">
        <f t="shared" si="172"/>
        <v>0.11332918993418861</v>
      </c>
      <c r="GH66" s="231">
        <f t="shared" si="173"/>
        <v>0.05</v>
      </c>
      <c r="GI66" s="231">
        <f t="shared" si="174"/>
        <v>0.05</v>
      </c>
      <c r="GJ66" s="231">
        <f t="shared" si="175"/>
        <v>0.12563350198418624</v>
      </c>
      <c r="GK66" s="245">
        <f t="shared" si="186"/>
        <v>7.5211167328062087E-2</v>
      </c>
      <c r="GL66" s="231">
        <f t="shared" si="187"/>
        <v>4.3667022730324009E-2</v>
      </c>
      <c r="GM66" s="231">
        <f t="shared" si="223"/>
        <v>58.059227481277745</v>
      </c>
      <c r="GO66" s="246">
        <f t="shared" si="176"/>
        <v>0.18</v>
      </c>
      <c r="GP66" s="246">
        <f t="shared" si="177"/>
        <v>0.18618366917759557</v>
      </c>
      <c r="GQ66" s="247">
        <f t="shared" si="188"/>
        <v>0.1830918345887978</v>
      </c>
      <c r="GR66" s="246">
        <f t="shared" si="189"/>
        <v>4.3725144080920767E-3</v>
      </c>
      <c r="GS66" s="246">
        <f t="shared" si="224"/>
        <v>2.3881536923327125</v>
      </c>
      <c r="GU66" s="249">
        <f t="shared" si="178"/>
        <v>2.2932971077396884E-2</v>
      </c>
      <c r="GV66" s="249">
        <f t="shared" si="179"/>
        <v>2.2932971077396884E-2</v>
      </c>
      <c r="GW66" s="249" t="e">
        <f t="shared" si="180"/>
        <v>#DIV/0!</v>
      </c>
      <c r="GX66" s="249" t="e">
        <f t="shared" si="225"/>
        <v>#DIV/0!</v>
      </c>
      <c r="GZ66" s="240">
        <f t="shared" si="181"/>
        <v>2.4284826414468993E-2</v>
      </c>
      <c r="HA66" s="240">
        <f t="shared" si="182"/>
        <v>2.4284826414468993E-2</v>
      </c>
      <c r="HB66" s="240" t="e">
        <f t="shared" si="183"/>
        <v>#DIV/0!</v>
      </c>
      <c r="HC66" s="240" t="e">
        <f t="shared" si="226"/>
        <v>#DIV/0!</v>
      </c>
      <c r="HE66" s="234">
        <f t="shared" si="184"/>
        <v>9.5899611444060312E-2</v>
      </c>
      <c r="HF66" s="234">
        <f t="shared" si="185"/>
        <v>9.5899611444060312E-2</v>
      </c>
      <c r="HG66" s="251">
        <f t="shared" si="190"/>
        <v>9.5899611444060312E-2</v>
      </c>
      <c r="HH66" s="234">
        <f t="shared" si="191"/>
        <v>0</v>
      </c>
      <c r="HI66" s="234">
        <f t="shared" si="227"/>
        <v>0</v>
      </c>
    </row>
    <row r="67" spans="2:217" ht="15.6" x14ac:dyDescent="0.25">
      <c r="B67">
        <v>63</v>
      </c>
      <c r="C67" s="124">
        <f t="shared" si="38"/>
        <v>81.081210025920882</v>
      </c>
      <c r="D67" s="124">
        <f t="shared" si="39"/>
        <v>173.27384696337072</v>
      </c>
      <c r="E67" s="29">
        <f t="shared" si="40"/>
        <v>2.1741192178402371</v>
      </c>
      <c r="F67" s="29">
        <f t="shared" si="41"/>
        <v>1.9902476035448338</v>
      </c>
      <c r="G67" s="29">
        <f t="shared" si="42"/>
        <v>1.9531646499314859</v>
      </c>
      <c r="H67" s="29">
        <f t="shared" si="43"/>
        <v>1.9894006896709848</v>
      </c>
      <c r="I67" s="29">
        <f t="shared" si="44"/>
        <v>2.0151253913092444</v>
      </c>
      <c r="J67" s="29">
        <f t="shared" si="45"/>
        <v>1.9894006896709848</v>
      </c>
      <c r="K67" s="29">
        <f t="shared" si="46"/>
        <v>1.9754924264904696</v>
      </c>
      <c r="L67" s="125">
        <f t="shared" si="0"/>
        <v>2.0124215240654628</v>
      </c>
      <c r="M67" s="126">
        <f t="shared" si="1"/>
        <v>7.3688749518585672E-2</v>
      </c>
      <c r="N67" s="126">
        <f t="shared" si="47"/>
        <v>3.6616955561934561</v>
      </c>
      <c r="P67" s="138">
        <f t="shared" si="48"/>
        <v>422.60852005374721</v>
      </c>
      <c r="Q67" s="138">
        <f t="shared" si="49"/>
        <v>325.79239999999999</v>
      </c>
      <c r="R67" s="138">
        <f t="shared" si="50"/>
        <v>422.60852005374721</v>
      </c>
      <c r="S67" s="138">
        <f t="shared" si="51"/>
        <v>366.04888684924799</v>
      </c>
      <c r="T67" s="138">
        <f t="shared" si="52"/>
        <v>466.98177920673169</v>
      </c>
      <c r="U67" s="138">
        <f t="shared" si="53"/>
        <v>422.60852005374721</v>
      </c>
      <c r="V67" s="138">
        <f t="shared" si="54"/>
        <v>259.24421999999998</v>
      </c>
      <c r="W67" s="138">
        <f t="shared" si="55"/>
        <v>383.69897803103157</v>
      </c>
      <c r="X67" s="138">
        <f t="shared" si="56"/>
        <v>71.451109913790546</v>
      </c>
      <c r="Y67" s="138">
        <f t="shared" si="57"/>
        <v>18.621657602645985</v>
      </c>
      <c r="AA67" s="227">
        <f t="shared" si="228"/>
        <v>0.43896506504999999</v>
      </c>
      <c r="AB67" s="227">
        <f t="shared" si="229"/>
        <v>0.40943820224719096</v>
      </c>
      <c r="AC67" s="227">
        <f t="shared" si="230"/>
        <v>0.47</v>
      </c>
      <c r="AD67" s="227">
        <f t="shared" si="231"/>
        <v>0.43896506504999999</v>
      </c>
      <c r="AE67" s="227">
        <f t="shared" si="62"/>
        <v>0.43934208308679779</v>
      </c>
      <c r="AF67" s="227">
        <f t="shared" si="63"/>
        <v>2.4728082847418335E-2</v>
      </c>
      <c r="AG67" s="227">
        <f t="shared" si="64"/>
        <v>5.6284348345780888</v>
      </c>
      <c r="AI67" s="228">
        <f t="shared" si="65"/>
        <v>4.506643868485706</v>
      </c>
      <c r="AJ67" s="228">
        <f t="shared" si="66"/>
        <v>4.506643868485706</v>
      </c>
      <c r="AK67" s="228">
        <f t="shared" si="67"/>
        <v>4.506643868485706</v>
      </c>
      <c r="AL67" s="228">
        <f t="shared" si="68"/>
        <v>7.2706839310172127</v>
      </c>
      <c r="AM67" s="228">
        <f t="shared" si="69"/>
        <v>4.28</v>
      </c>
      <c r="AN67" s="228">
        <f t="shared" si="70"/>
        <v>5.2702786516848574</v>
      </c>
      <c r="AO67" s="228">
        <f t="shared" si="71"/>
        <v>4.6160766547303123</v>
      </c>
      <c r="AP67" s="228">
        <f t="shared" si="72"/>
        <v>4.9938529775556431</v>
      </c>
      <c r="AQ67" s="228">
        <f t="shared" si="73"/>
        <v>1.0507766584367584</v>
      </c>
      <c r="AR67" s="228">
        <f t="shared" si="74"/>
        <v>21.041401562267964</v>
      </c>
      <c r="AT67" s="229">
        <f t="shared" si="75"/>
        <v>1.4229368932038835</v>
      </c>
      <c r="AU67" s="229">
        <f t="shared" si="76"/>
        <v>1.47</v>
      </c>
      <c r="AV67" s="229">
        <f t="shared" si="77"/>
        <v>1.3173468961690413</v>
      </c>
      <c r="AW67" s="229">
        <f t="shared" si="78"/>
        <v>1.4229368932038835</v>
      </c>
      <c r="AX67" s="229">
        <f t="shared" si="79"/>
        <v>1.1664243029413384</v>
      </c>
      <c r="AY67" s="229">
        <f t="shared" si="80"/>
        <v>1.3</v>
      </c>
      <c r="AZ67" s="229">
        <f t="shared" si="81"/>
        <v>1.2999999999999998</v>
      </c>
      <c r="BA67" s="229">
        <f t="shared" si="82"/>
        <v>1.2056491168538293</v>
      </c>
      <c r="BB67" s="229">
        <f t="shared" si="83"/>
        <v>1.3256617627964971</v>
      </c>
      <c r="BC67" s="229">
        <f t="shared" si="84"/>
        <v>0.10750695769146819</v>
      </c>
      <c r="BD67" s="229">
        <f t="shared" si="85"/>
        <v>8.1096823268615026</v>
      </c>
      <c r="BF67" s="230">
        <f t="shared" si="86"/>
        <v>11.73</v>
      </c>
      <c r="BG67" s="230">
        <f t="shared" si="87"/>
        <v>6.27</v>
      </c>
      <c r="BH67" s="230">
        <f t="shared" si="88"/>
        <v>5.5291076923076927</v>
      </c>
      <c r="BI67" s="230">
        <f t="shared" si="192"/>
        <v>7.8430358974358976</v>
      </c>
      <c r="BJ67" s="230">
        <f t="shared" si="193"/>
        <v>3.3865318253141905</v>
      </c>
      <c r="BK67" s="230">
        <f t="shared" si="89"/>
        <v>43.178838776210881</v>
      </c>
      <c r="BM67" s="227">
        <f t="shared" si="90"/>
        <v>31.73</v>
      </c>
      <c r="BN67" s="227">
        <f t="shared" si="91"/>
        <v>24.669023669461751</v>
      </c>
      <c r="BO67" s="227">
        <f t="shared" si="92"/>
        <v>22.942128668740231</v>
      </c>
      <c r="BP67" s="227">
        <f t="shared" si="93"/>
        <v>24.669023669461751</v>
      </c>
      <c r="BQ67" s="227">
        <f t="shared" si="94"/>
        <v>15.17</v>
      </c>
      <c r="BR67" s="227">
        <f t="shared" si="95"/>
        <v>19.17113946199515</v>
      </c>
      <c r="BS67" s="227">
        <f t="shared" si="96"/>
        <v>19.95</v>
      </c>
      <c r="BT67" s="227">
        <f t="shared" si="194"/>
        <v>22.614473638522696</v>
      </c>
      <c r="BU67" s="227">
        <f t="shared" si="195"/>
        <v>5.2602073485931893</v>
      </c>
      <c r="BV67" s="227">
        <f t="shared" si="97"/>
        <v>23.260357206071212</v>
      </c>
      <c r="BX67" s="231">
        <f t="shared" si="98"/>
        <v>0.3347797463841039</v>
      </c>
      <c r="BY67" s="231">
        <f t="shared" si="99"/>
        <v>0.30565516900602119</v>
      </c>
      <c r="BZ67" s="231">
        <f t="shared" si="100"/>
        <v>0.3263407785649598</v>
      </c>
      <c r="CA67" s="231">
        <f t="shared" si="101"/>
        <v>0.24</v>
      </c>
      <c r="CB67" s="231">
        <f t="shared" si="102"/>
        <v>0.37297374743580691</v>
      </c>
      <c r="CC67" s="231">
        <f t="shared" si="103"/>
        <v>0.31715780312566239</v>
      </c>
      <c r="CD67" s="231">
        <f t="shared" si="104"/>
        <v>0.48</v>
      </c>
      <c r="CE67" s="231">
        <f t="shared" si="105"/>
        <v>0.45014439526840816</v>
      </c>
      <c r="CF67" s="231">
        <f t="shared" si="106"/>
        <v>0.35338145497312029</v>
      </c>
      <c r="CG67" s="231">
        <f t="shared" si="107"/>
        <v>7.8650863117141492E-2</v>
      </c>
      <c r="CH67" s="231">
        <f t="shared" si="196"/>
        <v>22.256647034045411</v>
      </c>
      <c r="CJ67" s="232">
        <f t="shared" si="108"/>
        <v>1.512246713328766</v>
      </c>
      <c r="CK67" s="232">
        <f t="shared" si="109"/>
        <v>1.512246713328766</v>
      </c>
      <c r="CL67" s="232">
        <f t="shared" si="110"/>
        <v>2.1</v>
      </c>
      <c r="CM67" s="232">
        <f t="shared" si="111"/>
        <v>1.8897395247571274</v>
      </c>
      <c r="CN67" s="232">
        <f t="shared" si="112"/>
        <v>1.8671036087119777</v>
      </c>
      <c r="CO67" s="232">
        <f t="shared" si="113"/>
        <v>1.5451435557847744</v>
      </c>
      <c r="CP67" s="232">
        <f t="shared" si="114"/>
        <v>1.5131992635476055</v>
      </c>
      <c r="CQ67" s="232">
        <f t="shared" si="115"/>
        <v>1.9008382708326612</v>
      </c>
      <c r="CR67" s="232">
        <f t="shared" si="116"/>
        <v>4.0621686222986364</v>
      </c>
      <c r="CS67" s="232">
        <f t="shared" si="117"/>
        <v>1.41</v>
      </c>
      <c r="CT67" s="232">
        <f t="shared" si="118"/>
        <v>1.4104889668976137</v>
      </c>
      <c r="CU67" s="232">
        <f t="shared" si="119"/>
        <v>1.8839250217716297</v>
      </c>
      <c r="CV67" s="232">
        <f t="shared" si="120"/>
        <v>0.75955796550270926</v>
      </c>
      <c r="CW67" s="232">
        <f t="shared" si="197"/>
        <v>40.317844750977741</v>
      </c>
      <c r="CY67" s="229">
        <f t="shared" si="198"/>
        <v>1.19</v>
      </c>
      <c r="CZ67" s="229">
        <f t="shared" si="199"/>
        <v>0.79231511501868812</v>
      </c>
      <c r="DA67" s="229">
        <f t="shared" si="200"/>
        <v>0.51710390118835647</v>
      </c>
      <c r="DB67" s="229">
        <f t="shared" si="201"/>
        <v>1.2089861073054575</v>
      </c>
      <c r="DC67" s="229">
        <f t="shared" si="202"/>
        <v>0.57999999999999996</v>
      </c>
      <c r="DD67" s="229">
        <f t="shared" si="203"/>
        <v>0.56756847018144618</v>
      </c>
      <c r="DE67" s="229">
        <f t="shared" si="204"/>
        <v>0.8</v>
      </c>
      <c r="DF67" s="229">
        <f t="shared" si="205"/>
        <v>0.80799622767056412</v>
      </c>
      <c r="DG67" s="229">
        <f t="shared" si="206"/>
        <v>0.28908929837334874</v>
      </c>
      <c r="DH67" s="229">
        <f t="shared" si="207"/>
        <v>35.778545551727021</v>
      </c>
      <c r="DJ67" s="234">
        <f t="shared" si="121"/>
        <v>0.1200001908383629</v>
      </c>
      <c r="DK67" s="234">
        <f t="shared" si="122"/>
        <v>0.16216242005184175</v>
      </c>
      <c r="DL67" s="234">
        <f t="shared" si="123"/>
        <v>0.11625023686914251</v>
      </c>
      <c r="DM67" s="234">
        <f t="shared" si="208"/>
        <v>0.13280428258644905</v>
      </c>
      <c r="DN67" s="234">
        <f t="shared" si="209"/>
        <v>2.5493934872249328E-2</v>
      </c>
      <c r="DO67" s="234">
        <f t="shared" si="210"/>
        <v>19.196621054485973</v>
      </c>
      <c r="DQ67" s="229">
        <f t="shared" si="124"/>
        <v>3.49</v>
      </c>
      <c r="DR67" s="229">
        <f t="shared" si="125"/>
        <v>3.8542634128217816</v>
      </c>
      <c r="DS67" s="229">
        <f t="shared" si="126"/>
        <v>3.0186322860981942</v>
      </c>
      <c r="DT67" s="229">
        <f t="shared" si="127"/>
        <v>2.6949182432729959</v>
      </c>
      <c r="DU67" s="229">
        <f t="shared" si="128"/>
        <v>3.8542634128217816</v>
      </c>
      <c r="DV67" s="229">
        <f t="shared" si="129"/>
        <v>1.97</v>
      </c>
      <c r="DW67" s="229">
        <f t="shared" si="130"/>
        <v>2.4129</v>
      </c>
      <c r="DX67" s="229">
        <f t="shared" si="131"/>
        <v>3.5276094627162666</v>
      </c>
      <c r="DY67" s="229">
        <f t="shared" si="211"/>
        <v>3.1028233522163773</v>
      </c>
      <c r="DZ67" s="229">
        <f t="shared" si="212"/>
        <v>0.69615587523858136</v>
      </c>
      <c r="EA67" s="229">
        <f t="shared" si="213"/>
        <v>22.436207164075594</v>
      </c>
      <c r="EC67" s="235">
        <f t="shared" si="132"/>
        <v>0.21635528949155325</v>
      </c>
      <c r="ED67" s="235">
        <f t="shared" si="133"/>
        <v>0.15</v>
      </c>
      <c r="EE67" s="235">
        <f t="shared" si="134"/>
        <v>0.17837866205702596</v>
      </c>
      <c r="EF67" s="235">
        <f t="shared" si="135"/>
        <v>0.14612812384572202</v>
      </c>
      <c r="EG67" s="235">
        <f t="shared" si="136"/>
        <v>0.17271551884857531</v>
      </c>
      <c r="EH67" s="235">
        <f t="shared" si="137"/>
        <v>3.2451939553586356E-2</v>
      </c>
      <c r="EI67" s="235">
        <f t="shared" si="214"/>
        <v>18.789243589649818</v>
      </c>
      <c r="EK67" s="236">
        <f t="shared" si="138"/>
        <v>20.705381659388649</v>
      </c>
      <c r="EL67" s="236">
        <f t="shared" si="139"/>
        <v>32.628144340718592</v>
      </c>
      <c r="EM67" s="236">
        <f t="shared" si="140"/>
        <v>33.328033034441873</v>
      </c>
      <c r="EN67" s="236">
        <f t="shared" si="141"/>
        <v>14.4</v>
      </c>
      <c r="EO67" s="236">
        <f t="shared" si="142"/>
        <v>32.24980499093342</v>
      </c>
      <c r="EP67" s="236">
        <f t="shared" si="143"/>
        <v>33.328033034441873</v>
      </c>
      <c r="EQ67" s="236">
        <f t="shared" si="144"/>
        <v>34.032292230471555</v>
      </c>
      <c r="ER67" s="236">
        <f t="shared" si="145"/>
        <v>28.667384184342286</v>
      </c>
      <c r="ES67" s="236">
        <f t="shared" si="146"/>
        <v>7.8283526286836995</v>
      </c>
      <c r="ET67" s="236">
        <f t="shared" si="215"/>
        <v>27.30752334550089</v>
      </c>
      <c r="EV67" s="238">
        <f t="shared" si="147"/>
        <v>1.6216242005184178E-2</v>
      </c>
      <c r="EW67" s="238">
        <f t="shared" si="148"/>
        <v>1.6216242005184178E-2</v>
      </c>
      <c r="EX67" s="238" t="e">
        <f t="shared" si="149"/>
        <v>#DIV/0!</v>
      </c>
      <c r="EY67" s="238" t="e">
        <f t="shared" si="216"/>
        <v>#DIV/0!</v>
      </c>
      <c r="FA67" s="240">
        <f t="shared" si="150"/>
        <v>0.50270350216070947</v>
      </c>
      <c r="FB67" s="240">
        <f t="shared" si="151"/>
        <v>0.67540647951592103</v>
      </c>
      <c r="FC67" s="240">
        <f t="shared" si="152"/>
        <v>0.58905499083831525</v>
      </c>
      <c r="FD67" s="240">
        <f t="shared" si="153"/>
        <v>0.1221194464189771</v>
      </c>
      <c r="FE67" s="240">
        <f t="shared" si="217"/>
        <v>20.731416984547142</v>
      </c>
      <c r="FG67" s="236">
        <f t="shared" si="154"/>
        <v>1.2</v>
      </c>
      <c r="FH67" s="236">
        <f t="shared" si="155"/>
        <v>1.3793442863603307</v>
      </c>
      <c r="FI67" s="236">
        <f t="shared" si="156"/>
        <v>1.3378399654276947</v>
      </c>
      <c r="FJ67" s="236">
        <f t="shared" si="157"/>
        <v>0.92</v>
      </c>
      <c r="FK67" s="236">
        <f t="shared" si="158"/>
        <v>1.297299360414734</v>
      </c>
      <c r="FL67" s="236">
        <f t="shared" si="159"/>
        <v>0.9</v>
      </c>
      <c r="FM67" s="236">
        <f t="shared" si="160"/>
        <v>1.1724139353671268</v>
      </c>
      <c r="FN67" s="236">
        <f t="shared" si="161"/>
        <v>0.21187989469732368</v>
      </c>
      <c r="FO67" s="236">
        <f t="shared" si="218"/>
        <v>18.072106472444492</v>
      </c>
      <c r="FQ67" s="227">
        <f t="shared" si="162"/>
        <v>0.32</v>
      </c>
      <c r="FR67" s="227">
        <f t="shared" si="163"/>
        <v>0.34739123732022675</v>
      </c>
      <c r="FS67" s="227">
        <f t="shared" si="164"/>
        <v>0.34739123732022675</v>
      </c>
      <c r="FT67" s="227">
        <f t="shared" si="165"/>
        <v>0.24</v>
      </c>
      <c r="FU67" s="227">
        <f t="shared" si="166"/>
        <v>0.33786540217801231</v>
      </c>
      <c r="FV67" s="227">
        <f t="shared" si="219"/>
        <v>0.31852957536369314</v>
      </c>
      <c r="FW67" s="227">
        <f t="shared" si="220"/>
        <v>4.5301549685945582E-2</v>
      </c>
      <c r="FX67" s="227">
        <f t="shared" si="221"/>
        <v>14.222085856304185</v>
      </c>
      <c r="FZ67" s="230">
        <f t="shared" si="167"/>
        <v>1.7027054105443387</v>
      </c>
      <c r="GA67" s="230">
        <f t="shared" si="168"/>
        <v>2.4700000000000002</v>
      </c>
      <c r="GB67" s="230">
        <f t="shared" si="169"/>
        <v>3.6481735678674032</v>
      </c>
      <c r="GC67" s="230">
        <f t="shared" si="170"/>
        <v>2.6069596594705806</v>
      </c>
      <c r="GD67" s="230">
        <f t="shared" si="171"/>
        <v>0.97993879861510969</v>
      </c>
      <c r="GE67" s="230">
        <f t="shared" si="222"/>
        <v>37.589334957876368</v>
      </c>
      <c r="GG67" s="231">
        <f t="shared" si="172"/>
        <v>0.11351369403628923</v>
      </c>
      <c r="GH67" s="231">
        <f t="shared" si="173"/>
        <v>0.05</v>
      </c>
      <c r="GI67" s="231">
        <f t="shared" si="174"/>
        <v>0.05</v>
      </c>
      <c r="GJ67" s="231">
        <f t="shared" si="175"/>
        <v>0.12583803796022922</v>
      </c>
      <c r="GK67" s="245">
        <f t="shared" si="186"/>
        <v>7.5279345986743074E-2</v>
      </c>
      <c r="GL67" s="231">
        <f t="shared" si="187"/>
        <v>4.3785111631151397E-2</v>
      </c>
      <c r="GM67" s="231">
        <f t="shared" si="223"/>
        <v>58.163512258544451</v>
      </c>
      <c r="GO67" s="246">
        <f t="shared" si="176"/>
        <v>0.18</v>
      </c>
      <c r="GP67" s="246">
        <f t="shared" si="177"/>
        <v>0.18648678305961802</v>
      </c>
      <c r="GQ67" s="247">
        <f t="shared" si="188"/>
        <v>0.18324339152980901</v>
      </c>
      <c r="GR67" s="246">
        <f t="shared" si="189"/>
        <v>4.5868482895419288E-3</v>
      </c>
      <c r="GS67" s="246">
        <f t="shared" si="224"/>
        <v>2.503145271023739</v>
      </c>
      <c r="GU67" s="249">
        <f t="shared" si="178"/>
        <v>2.2970306800343385E-2</v>
      </c>
      <c r="GV67" s="249">
        <f t="shared" si="179"/>
        <v>2.2970306800343385E-2</v>
      </c>
      <c r="GW67" s="249" t="e">
        <f t="shared" si="180"/>
        <v>#DIV/0!</v>
      </c>
      <c r="GX67" s="249" t="e">
        <f t="shared" si="225"/>
        <v>#DIV/0!</v>
      </c>
      <c r="GZ67" s="240">
        <f t="shared" si="181"/>
        <v>2.4324363007776267E-2</v>
      </c>
      <c r="HA67" s="240">
        <f t="shared" si="182"/>
        <v>2.4324363007776267E-2</v>
      </c>
      <c r="HB67" s="240" t="e">
        <f t="shared" si="183"/>
        <v>#DIV/0!</v>
      </c>
      <c r="HC67" s="240" t="e">
        <f t="shared" si="226"/>
        <v>#DIV/0!</v>
      </c>
      <c r="HE67" s="234">
        <f t="shared" si="184"/>
        <v>9.6056439930845838E-2</v>
      </c>
      <c r="HF67" s="234">
        <f t="shared" si="185"/>
        <v>9.6056439930845838E-2</v>
      </c>
      <c r="HG67" s="251">
        <f t="shared" si="190"/>
        <v>9.6056439930845838E-2</v>
      </c>
      <c r="HH67" s="234">
        <f t="shared" si="191"/>
        <v>0</v>
      </c>
      <c r="HI67" s="234">
        <f t="shared" si="227"/>
        <v>0</v>
      </c>
    </row>
    <row r="68" spans="2:217" ht="15.6" x14ac:dyDescent="0.25">
      <c r="B68">
        <v>64</v>
      </c>
      <c r="C68" s="124">
        <f t="shared" si="38"/>
        <v>81.221948974824045</v>
      </c>
      <c r="D68" s="124">
        <f t="shared" si="39"/>
        <v>172.79202664243053</v>
      </c>
      <c r="E68" s="29">
        <f t="shared" si="40"/>
        <v>2.1725553350415674</v>
      </c>
      <c r="F68" s="29">
        <f t="shared" si="41"/>
        <v>1.9896865644182882</v>
      </c>
      <c r="G68" s="29">
        <f t="shared" ref="G68:G84" si="232">0.007184*C68^0.425*D68^0.725</f>
        <v>1.9506628040209577</v>
      </c>
      <c r="H68" s="29">
        <f t="shared" si="43"/>
        <v>1.9888398892844932</v>
      </c>
      <c r="I68" s="29">
        <f t="shared" si="44"/>
        <v>2.0145860277578329</v>
      </c>
      <c r="J68" s="29">
        <f t="shared" si="45"/>
        <v>1.9888398892844932</v>
      </c>
      <c r="K68" s="29">
        <f t="shared" si="46"/>
        <v>1.9744552815064891</v>
      </c>
      <c r="L68" s="125">
        <f t="shared" ref="L68:L84" si="233">AVERAGE(E68:K68)</f>
        <v>2.0113751130448745</v>
      </c>
      <c r="M68" s="126">
        <f t="shared" ref="M68:M84" si="234">STDEV(E68:K68)</f>
        <v>7.362574065889381E-2</v>
      </c>
      <c r="N68" s="126">
        <f t="shared" si="47"/>
        <v>3.6604679147808064</v>
      </c>
      <c r="P68" s="138">
        <f t="shared" si="48"/>
        <v>422.38877373942364</v>
      </c>
      <c r="Q68" s="138">
        <f t="shared" si="49"/>
        <v>325.79239999999999</v>
      </c>
      <c r="R68" s="138">
        <f t="shared" si="50"/>
        <v>422.38877373942364</v>
      </c>
      <c r="S68" s="138">
        <f t="shared" si="51"/>
        <v>364.51856020587445</v>
      </c>
      <c r="T68" s="138">
        <f t="shared" si="52"/>
        <v>467.6151247124335</v>
      </c>
      <c r="U68" s="138">
        <f t="shared" si="53"/>
        <v>422.38877373942364</v>
      </c>
      <c r="V68" s="138">
        <f t="shared" si="54"/>
        <v>258.15647999999999</v>
      </c>
      <c r="W68" s="138">
        <f t="shared" si="55"/>
        <v>383.32126944808266</v>
      </c>
      <c r="X68" s="138">
        <f t="shared" si="56"/>
        <v>71.895295305503964</v>
      </c>
      <c r="Y68" s="138">
        <f t="shared" si="57"/>
        <v>18.755884694063791</v>
      </c>
      <c r="AA68" s="227">
        <f t="shared" si="228"/>
        <v>0.4388749616</v>
      </c>
      <c r="AB68" s="227">
        <f t="shared" si="229"/>
        <v>0.40954986149584482</v>
      </c>
      <c r="AC68" s="227">
        <f t="shared" si="230"/>
        <v>0.47</v>
      </c>
      <c r="AD68" s="227">
        <f t="shared" si="231"/>
        <v>0.4388749616</v>
      </c>
      <c r="AE68" s="227">
        <f t="shared" si="62"/>
        <v>0.43932494617396123</v>
      </c>
      <c r="AF68" s="227">
        <f t="shared" si="63"/>
        <v>2.4684135033478369E-2</v>
      </c>
      <c r="AG68" s="227">
        <f t="shared" si="64"/>
        <v>5.618650898031202</v>
      </c>
      <c r="AI68" s="228">
        <f t="shared" si="65"/>
        <v>4.5038127899933551</v>
      </c>
      <c r="AJ68" s="228">
        <f t="shared" si="66"/>
        <v>4.5038127899933551</v>
      </c>
      <c r="AK68" s="228">
        <f t="shared" si="67"/>
        <v>4.5038127899933551</v>
      </c>
      <c r="AL68" s="228">
        <f t="shared" si="68"/>
        <v>7.283300221720701</v>
      </c>
      <c r="AM68" s="228">
        <f t="shared" si="69"/>
        <v>4.28</v>
      </c>
      <c r="AN68" s="228">
        <f t="shared" si="70"/>
        <v>5.279426683363563</v>
      </c>
      <c r="AO68" s="228">
        <f t="shared" si="71"/>
        <v>4.6134507553767605</v>
      </c>
      <c r="AP68" s="228">
        <f t="shared" si="72"/>
        <v>4.9953737186344416</v>
      </c>
      <c r="AQ68" s="228">
        <f t="shared" si="73"/>
        <v>1.0565521691782618</v>
      </c>
      <c r="AR68" s="228">
        <f t="shared" si="74"/>
        <v>21.150613121035633</v>
      </c>
      <c r="AT68" s="229">
        <f t="shared" si="75"/>
        <v>1.4232760909976099</v>
      </c>
      <c r="AU68" s="229">
        <f t="shared" si="76"/>
        <v>1.47</v>
      </c>
      <c r="AV68" s="229">
        <f t="shared" si="77"/>
        <v>1.313568133958209</v>
      </c>
      <c r="AW68" s="229">
        <f t="shared" si="78"/>
        <v>1.4232760909976099</v>
      </c>
      <c r="AX68" s="229">
        <f t="shared" si="79"/>
        <v>1.1835128776330681</v>
      </c>
      <c r="AY68" s="229">
        <f t="shared" si="80"/>
        <v>1.3</v>
      </c>
      <c r="AZ68" s="229">
        <f t="shared" si="81"/>
        <v>1.2999999999999998</v>
      </c>
      <c r="BA68" s="229">
        <f t="shared" si="82"/>
        <v>1.2037338684612773</v>
      </c>
      <c r="BB68" s="229">
        <f t="shared" si="83"/>
        <v>1.3271708827559716</v>
      </c>
      <c r="BC68" s="229">
        <f t="shared" si="84"/>
        <v>0.10447723353046758</v>
      </c>
      <c r="BD68" s="229">
        <f t="shared" si="85"/>
        <v>7.8721764384637964</v>
      </c>
      <c r="BF68" s="230">
        <f t="shared" si="86"/>
        <v>11.73</v>
      </c>
      <c r="BG68" s="230">
        <f t="shared" si="87"/>
        <v>6.27</v>
      </c>
      <c r="BH68" s="230">
        <f t="shared" si="88"/>
        <v>5.5118769230769233</v>
      </c>
      <c r="BI68" s="230">
        <f t="shared" ref="BI68:BI99" si="235">AVERAGE(BF68:BH68)</f>
        <v>7.8372923076923078</v>
      </c>
      <c r="BJ68" s="230">
        <f t="shared" ref="BJ68:BJ84" si="236">STDEV(BF68:BH68)</f>
        <v>3.3924279702381943</v>
      </c>
      <c r="BK68" s="230">
        <f t="shared" si="89"/>
        <v>43.285714466825794</v>
      </c>
      <c r="BM68" s="227">
        <f t="shared" si="90"/>
        <v>31.73</v>
      </c>
      <c r="BN68" s="227">
        <f t="shared" si="91"/>
        <v>24.649591717600934</v>
      </c>
      <c r="BO68" s="227">
        <f t="shared" si="92"/>
        <v>22.954705961843665</v>
      </c>
      <c r="BP68" s="227">
        <f t="shared" si="93"/>
        <v>24.649591717600934</v>
      </c>
      <c r="BQ68" s="227">
        <f t="shared" si="94"/>
        <v>15.17</v>
      </c>
      <c r="BR68" s="227">
        <f t="shared" si="95"/>
        <v>18.969344621340994</v>
      </c>
      <c r="BS68" s="227">
        <f t="shared" si="96"/>
        <v>19.95</v>
      </c>
      <c r="BT68" s="227">
        <f t="shared" ref="BT68:BT99" si="237">AVERAGE(BM68:BS68)</f>
        <v>22.581890574055219</v>
      </c>
      <c r="BU68" s="227">
        <f t="shared" ref="BU68:BU84" si="238">STDEV(BM68:BS68)</f>
        <v>5.2803271924587047</v>
      </c>
      <c r="BV68" s="227">
        <f t="shared" si="97"/>
        <v>23.383016471284193</v>
      </c>
      <c r="BX68" s="231">
        <f t="shared" si="98"/>
        <v>0.33419205477365277</v>
      </c>
      <c r="BY68" s="231">
        <f t="shared" si="99"/>
        <v>0.30575367382509466</v>
      </c>
      <c r="BZ68" s="231">
        <f t="shared" si="100"/>
        <v>0.3267603092101582</v>
      </c>
      <c r="CA68" s="231">
        <f t="shared" si="101"/>
        <v>0.24</v>
      </c>
      <c r="CB68" s="231">
        <f t="shared" si="102"/>
        <v>0.37362111090103034</v>
      </c>
      <c r="CC68" s="231">
        <f t="shared" si="103"/>
        <v>0.31655226482021581</v>
      </c>
      <c r="CD68" s="231">
        <f t="shared" si="104"/>
        <v>0.48</v>
      </c>
      <c r="CE68" s="231">
        <f t="shared" si="105"/>
        <v>0.44821240820548264</v>
      </c>
      <c r="CF68" s="231">
        <f t="shared" si="106"/>
        <v>0.35313647771695428</v>
      </c>
      <c r="CG68" s="231">
        <f t="shared" si="107"/>
        <v>7.8368540330641237E-2</v>
      </c>
      <c r="CH68" s="231">
        <f t="shared" ref="CH68:CH99" si="239">(CG68/CF68)*100</f>
        <v>22.192139661497993</v>
      </c>
      <c r="CJ68" s="232">
        <f t="shared" si="108"/>
        <v>1.5113113696289597</v>
      </c>
      <c r="CK68" s="232">
        <f t="shared" si="109"/>
        <v>1.5113113696289597</v>
      </c>
      <c r="CL68" s="232">
        <f t="shared" si="110"/>
        <v>2.1</v>
      </c>
      <c r="CM68" s="232">
        <f t="shared" si="111"/>
        <v>1.8929567213215837</v>
      </c>
      <c r="CN68" s="232">
        <f t="shared" si="112"/>
        <v>1.8676594077414028</v>
      </c>
      <c r="CO68" s="232">
        <f t="shared" si="113"/>
        <v>1.5472351365912995</v>
      </c>
      <c r="CP68" s="232">
        <f t="shared" si="114"/>
        <v>1.5122633306834532</v>
      </c>
      <c r="CQ68" s="232">
        <f t="shared" si="115"/>
        <v>1.903962137194062</v>
      </c>
      <c r="CR68" s="232">
        <f t="shared" si="116"/>
        <v>4.0692196436386849</v>
      </c>
      <c r="CS68" s="232">
        <f t="shared" si="117"/>
        <v>1.41</v>
      </c>
      <c r="CT68" s="232">
        <f t="shared" si="118"/>
        <v>1.4082660037964432</v>
      </c>
      <c r="CU68" s="232">
        <f t="shared" si="119"/>
        <v>1.8849259200204407</v>
      </c>
      <c r="CV68" s="232">
        <f t="shared" si="120"/>
        <v>0.76177216903559442</v>
      </c>
      <c r="CW68" s="232">
        <f t="shared" ref="CW68:CW99" si="240">(CV68/CU68)*100</f>
        <v>40.413904915018279</v>
      </c>
      <c r="CY68" s="229">
        <f t="shared" ref="CY68:CY84" si="241">IF(B68&lt; 18, (9.74*10^(-2) * (B68*365.25*24) + 6.33*10^(-2) * (B68 * 365.25*24)^(9.98*10^-1) + 3.8*10^1) / 25000, 1.19)</f>
        <v>1.19</v>
      </c>
      <c r="CZ68" s="229">
        <f t="shared" ref="CZ68:CZ84" si="242">-1.454*10^(-2) + 7.269*10^(-4) * B68 + 9.329*10^(-6) * B68^2 + 6.43*10^(-3) * C68 + 3.083*10^-5 * C68^2</f>
        <v>0.79583597991225941</v>
      </c>
      <c r="DA68" s="229">
        <f t="shared" ref="DA68:DA84" si="243">EXP(-2.092 * ((D68/100)^(-2.1)))</f>
        <v>0.51510768832378417</v>
      </c>
      <c r="DB68" s="229">
        <f t="shared" ref="DB68:DB84" si="244">(1.86*10^(-2) - 4.55*10^(-8) * C68*1000) * C68</f>
        <v>1.2105645236469915</v>
      </c>
      <c r="DC68" s="229">
        <f t="shared" ref="DC68:DC84" si="245">IF(B68 &lt; 18, (6.3*10^(-3) * B68^5 - 0.3162 * B68^4 + 5.5896 * B68^3 - 42.196 * B68^2 + 160.79 * B68 + 50.506) / 1050, 0.58)</f>
        <v>0.57999999999999996</v>
      </c>
      <c r="DD68" s="229">
        <f t="shared" ref="DD68:DD84" si="246">0.007 * C68</f>
        <v>0.5685536428237683</v>
      </c>
      <c r="DE68" s="229">
        <f t="shared" ref="DE68:DE84" si="247">IF(B68 &lt; 18, ((31.46 * (D68/100) * SQRT(C68) + 1.43) + (35.3 * (D68/100) * SQRT(C68) + 1.53)) / 1050, 0.8)</f>
        <v>0.8</v>
      </c>
      <c r="DF68" s="229">
        <f t="shared" ref="DF68:DF99" si="248">AVERAGE(CY68:DE68)</f>
        <v>0.80858026210097189</v>
      </c>
      <c r="DG68" s="229">
        <f t="shared" ref="DG68:DG84" si="249">STDEV(CY68:DE68)</f>
        <v>0.28962512159660492</v>
      </c>
      <c r="DH68" s="229">
        <f t="shared" ref="DH68:DH99" si="250">(DG68/DF68)*100</f>
        <v>35.818970010974347</v>
      </c>
      <c r="DJ68" s="234">
        <f t="shared" si="121"/>
        <v>0.12020848448273959</v>
      </c>
      <c r="DK68" s="234">
        <f t="shared" si="122"/>
        <v>0.16244389794964809</v>
      </c>
      <c r="DL68" s="234">
        <f t="shared" si="123"/>
        <v>0.11602371828913831</v>
      </c>
      <c r="DM68" s="234">
        <f t="shared" ref="DM68:DM99" si="251">AVERAGE(DJ68:DL68)</f>
        <v>0.13289203357384199</v>
      </c>
      <c r="DN68" s="234">
        <f t="shared" ref="DN68:DN84" si="252">STDEV(DJ68:DL68)</f>
        <v>2.5678056450757783E-2</v>
      </c>
      <c r="DO68" s="234">
        <f t="shared" ref="DO68:DO99" si="253">(DN68/DM68)*100</f>
        <v>19.322494930811384</v>
      </c>
      <c r="DQ68" s="229">
        <f t="shared" si="124"/>
        <v>3.49</v>
      </c>
      <c r="DR68" s="229">
        <f t="shared" si="125"/>
        <v>3.8522551239057288</v>
      </c>
      <c r="DS68" s="229">
        <f t="shared" si="126"/>
        <v>3.0170626695673119</v>
      </c>
      <c r="DT68" s="229">
        <f t="shared" si="127"/>
        <v>2.6986780924620253</v>
      </c>
      <c r="DU68" s="229">
        <f t="shared" si="128"/>
        <v>3.8522551239057288</v>
      </c>
      <c r="DV68" s="229">
        <f t="shared" si="129"/>
        <v>1.97</v>
      </c>
      <c r="DW68" s="229">
        <f t="shared" si="130"/>
        <v>2.4512</v>
      </c>
      <c r="DX68" s="229">
        <f t="shared" si="131"/>
        <v>3.5215608739891224</v>
      </c>
      <c r="DY68" s="229">
        <f t="shared" ref="DY68:DY99" si="254">AVERAGE(DQ68:DX68)</f>
        <v>3.1066264854787398</v>
      </c>
      <c r="DZ68" s="229">
        <f t="shared" ref="DZ68:DZ84" si="255">STDEV(DQ68:DX68)</f>
        <v>0.68941146174878087</v>
      </c>
      <c r="EA68" s="229">
        <f t="shared" ref="EA68:EA99" si="256">(DZ68/DY68)*100</f>
        <v>22.191643088452608</v>
      </c>
      <c r="EC68" s="235">
        <f t="shared" si="132"/>
        <v>0.21666716297780317</v>
      </c>
      <c r="ED68" s="235">
        <f t="shared" si="133"/>
        <v>0.15</v>
      </c>
      <c r="EE68" s="235">
        <f t="shared" si="134"/>
        <v>0.1786882877446129</v>
      </c>
      <c r="EF68" s="235">
        <f t="shared" si="135"/>
        <v>0.14586270596497705</v>
      </c>
      <c r="EG68" s="235">
        <f t="shared" si="136"/>
        <v>0.17280453917184829</v>
      </c>
      <c r="EH68" s="235">
        <f t="shared" si="137"/>
        <v>3.2682603159262281E-2</v>
      </c>
      <c r="EI68" s="235">
        <f t="shared" ref="EI68:EI99" si="257">(EH68/EG68)*100</f>
        <v>18.913046680307705</v>
      </c>
      <c r="EK68" s="236">
        <f t="shared" si="138"/>
        <v>20.705381659388649</v>
      </c>
      <c r="EL68" s="236">
        <f t="shared" si="139"/>
        <v>32.873402353640216</v>
      </c>
      <c r="EM68" s="236">
        <f t="shared" si="140"/>
        <v>33.578551944474178</v>
      </c>
      <c r="EN68" s="236">
        <f t="shared" si="141"/>
        <v>14.4</v>
      </c>
      <c r="EO68" s="236">
        <f t="shared" si="142"/>
        <v>32.416248791656614</v>
      </c>
      <c r="EP68" s="236">
        <f t="shared" si="143"/>
        <v>33.578551944474178</v>
      </c>
      <c r="EQ68" s="236">
        <f t="shared" si="144"/>
        <v>34.152434710908544</v>
      </c>
      <c r="ER68" s="236">
        <f t="shared" si="145"/>
        <v>28.814938772077486</v>
      </c>
      <c r="ES68" s="236">
        <f t="shared" si="146"/>
        <v>7.9253687682466376</v>
      </c>
      <c r="ET68" s="236">
        <f t="shared" ref="ET68:ET99" si="258">(ES68/ER68)*100</f>
        <v>27.504374834648441</v>
      </c>
      <c r="EV68" s="238">
        <f t="shared" si="147"/>
        <v>1.6244389794964811E-2</v>
      </c>
      <c r="EW68" s="238">
        <f t="shared" si="148"/>
        <v>1.6244389794964811E-2</v>
      </c>
      <c r="EX68" s="238" t="e">
        <f t="shared" si="149"/>
        <v>#DIV/0!</v>
      </c>
      <c r="EY68" s="238" t="e">
        <f t="shared" ref="EY68:EY99" si="259">(EX68/EW68)*100</f>
        <v>#DIV/0!</v>
      </c>
      <c r="FA68" s="240">
        <f t="shared" si="150"/>
        <v>0.50357608364390904</v>
      </c>
      <c r="FB68" s="240">
        <f t="shared" si="151"/>
        <v>0.67657883496028437</v>
      </c>
      <c r="FC68" s="240">
        <f t="shared" si="152"/>
        <v>0.59007745930209676</v>
      </c>
      <c r="FD68" s="240">
        <f t="shared" si="153"/>
        <v>0.12233141861973799</v>
      </c>
      <c r="FE68" s="240">
        <f t="shared" ref="FE68:FE99" si="260">(FD68/FC68)*100</f>
        <v>20.73141698454695</v>
      </c>
      <c r="FG68" s="236">
        <f t="shared" si="154"/>
        <v>1.2</v>
      </c>
      <c r="FH68" s="236">
        <f t="shared" si="155"/>
        <v>1.3784962684670574</v>
      </c>
      <c r="FI68" s="236">
        <f t="shared" si="156"/>
        <v>1.3401621580845968</v>
      </c>
      <c r="FJ68" s="236">
        <f t="shared" si="157"/>
        <v>0.92</v>
      </c>
      <c r="FK68" s="236">
        <f t="shared" si="158"/>
        <v>1.2995511835971847</v>
      </c>
      <c r="FL68" s="236">
        <f t="shared" si="159"/>
        <v>0.9</v>
      </c>
      <c r="FM68" s="236">
        <f t="shared" si="160"/>
        <v>1.1730349350248066</v>
      </c>
      <c r="FN68" s="236">
        <f t="shared" si="161"/>
        <v>0.21234599040080657</v>
      </c>
      <c r="FO68" s="236">
        <f t="shared" ref="FO68:FO99" si="261">(FN68/FM68)*100</f>
        <v>18.102273347580734</v>
      </c>
      <c r="FQ68" s="227">
        <f t="shared" si="162"/>
        <v>0.32</v>
      </c>
      <c r="FR68" s="227">
        <f t="shared" si="163"/>
        <v>0.34675389748256841</v>
      </c>
      <c r="FS68" s="227">
        <f t="shared" si="164"/>
        <v>0.34675389748256841</v>
      </c>
      <c r="FT68" s="227">
        <f t="shared" si="165"/>
        <v>0.24</v>
      </c>
      <c r="FU68" s="227">
        <f t="shared" si="166"/>
        <v>0.33845186137809175</v>
      </c>
      <c r="FV68" s="227">
        <f t="shared" ref="FV68:FV99" si="262">AVERAGE(FQ68:FU68)</f>
        <v>0.31839193126864573</v>
      </c>
      <c r="FW68" s="227">
        <f t="shared" ref="FW68:FW84" si="263">STDEV(FQ68:FU68)</f>
        <v>4.5163823531971153E-2</v>
      </c>
      <c r="FX68" s="227">
        <f t="shared" ref="FX68:FX99" si="264">(FW68/FV68)*100</f>
        <v>14.184977411963311</v>
      </c>
      <c r="FZ68" s="230">
        <f t="shared" si="167"/>
        <v>1.7056609284713051</v>
      </c>
      <c r="GA68" s="230">
        <f t="shared" si="168"/>
        <v>2.4700000000000002</v>
      </c>
      <c r="GB68" s="230">
        <f t="shared" si="169"/>
        <v>3.6545672398550444</v>
      </c>
      <c r="GC68" s="230">
        <f t="shared" si="170"/>
        <v>2.6100760561087832</v>
      </c>
      <c r="GD68" s="230">
        <f t="shared" si="171"/>
        <v>0.98197501432525613</v>
      </c>
      <c r="GE68" s="230">
        <f t="shared" ref="GE68:GE99" si="265">(GD68/GC68)*100</f>
        <v>37.622467438333111</v>
      </c>
      <c r="GG68" s="231">
        <f t="shared" si="172"/>
        <v>0.11371072856475366</v>
      </c>
      <c r="GH68" s="231">
        <f t="shared" si="173"/>
        <v>0.05</v>
      </c>
      <c r="GI68" s="231">
        <f t="shared" si="174"/>
        <v>0.05</v>
      </c>
      <c r="GJ68" s="231">
        <f t="shared" si="175"/>
        <v>0.1260564648089269</v>
      </c>
      <c r="GK68" s="245">
        <f t="shared" si="186"/>
        <v>7.5352154936308965E-2</v>
      </c>
      <c r="GL68" s="231">
        <f t="shared" si="187"/>
        <v>4.3911220431045242E-2</v>
      </c>
      <c r="GM68" s="231">
        <f t="shared" ref="GM68:GM99" si="266">(GL68/GK68)*100</f>
        <v>58.274671067019888</v>
      </c>
      <c r="GO68" s="246">
        <f t="shared" si="176"/>
        <v>0.18</v>
      </c>
      <c r="GP68" s="246">
        <f t="shared" si="177"/>
        <v>0.18681048264209529</v>
      </c>
      <c r="GQ68" s="247">
        <f t="shared" si="188"/>
        <v>0.18340524132104763</v>
      </c>
      <c r="GR68" s="246">
        <f t="shared" si="189"/>
        <v>4.8157384593788613E-3</v>
      </c>
      <c r="GS68" s="246">
        <f t="shared" ref="GS68:GS99" si="267">(GR68/GQ68)*100</f>
        <v>2.6257365518518614</v>
      </c>
      <c r="GU68" s="249">
        <f t="shared" si="178"/>
        <v>2.3010178144567652E-2</v>
      </c>
      <c r="GV68" s="249">
        <f t="shared" si="179"/>
        <v>2.3010178144567652E-2</v>
      </c>
      <c r="GW68" s="249" t="e">
        <f t="shared" si="180"/>
        <v>#DIV/0!</v>
      </c>
      <c r="GX68" s="249" t="e">
        <f t="shared" ref="GX68:GX99" si="268">(GW68/GV68)*100</f>
        <v>#DIV/0!</v>
      </c>
      <c r="GZ68" s="240">
        <f t="shared" si="181"/>
        <v>2.4366584692447214E-2</v>
      </c>
      <c r="HA68" s="240">
        <f t="shared" si="182"/>
        <v>2.4366584692447214E-2</v>
      </c>
      <c r="HB68" s="240" t="e">
        <f t="shared" si="183"/>
        <v>#DIV/0!</v>
      </c>
      <c r="HC68" s="240" t="e">
        <f t="shared" ref="HC68:HC99" si="269">(HB68/HA68)*100</f>
        <v>#DIV/0!</v>
      </c>
      <c r="HE68" s="234">
        <f t="shared" si="184"/>
        <v>9.6223919280040593E-2</v>
      </c>
      <c r="HF68" s="234">
        <f t="shared" si="185"/>
        <v>9.6223919280040593E-2</v>
      </c>
      <c r="HG68" s="251">
        <f t="shared" si="190"/>
        <v>9.6223919280040593E-2</v>
      </c>
      <c r="HH68" s="234">
        <f t="shared" si="191"/>
        <v>0</v>
      </c>
      <c r="HI68" s="234">
        <f t="shared" ref="HI68:HI99" si="270">(HH68/HG68)*100</f>
        <v>0</v>
      </c>
    </row>
    <row r="69" spans="2:217" ht="15.6" x14ac:dyDescent="0.25">
      <c r="B69">
        <v>65</v>
      </c>
      <c r="C69" s="124">
        <f t="shared" ref="C69:C84" si="271">3.938425 + 0.7518199*B69*12 - 0.02023793*(B69*12)^2 + 0.0002921682*(B69*12)^3 - 0.00000206762*(B69*12)^4 + 0.000000008469*(B69*12)^5 - 0.00000000002188427*(B69*12)^6 + 3.699776E-14*(B69*12)^7 - 4.099077E-17*(B69*12)^8 + 2.874804E-20*(B69*12)^9 - 1.159732E-23*(B69*12)^10 + 2.052602E-27*(B69*12)^11</f>
        <v>81.364667494082823</v>
      </c>
      <c r="D69" s="124">
        <f t="shared" ref="D69:D84" si="272">64.35+0.8146*B69*12 - 0.0007474*(B69*12)^2 - 0.000006322*(B69*12)^3 + 0.00000001903*(B69*12)^4 - 0.00000000001995*(B69*12)^5 + 0.000000000000007297*(B69*12)^6</f>
        <v>172.23587497708854</v>
      </c>
      <c r="E69" s="29">
        <f t="shared" ref="E69:E84" si="273">EXP(-3.75+0.42*LN(C69)+0.52*LN(D69))</f>
        <v>2.1705162003109932</v>
      </c>
      <c r="F69" s="29">
        <f t="shared" ref="F69:F84" si="274">(C69^0.515 *  D69^0.422 * 235) / 10000</f>
        <v>1.9887788506172492</v>
      </c>
      <c r="G69" s="29">
        <f t="shared" si="232"/>
        <v>1.9475615101396613</v>
      </c>
      <c r="H69" s="29">
        <f t="shared" ref="H69:H84" si="275">(C69^0.515 * D69^0.422) * 234.9 / 10000</f>
        <v>1.9879325617446462</v>
      </c>
      <c r="I69" s="29">
        <f t="shared" ref="I69:I84" si="276">EXP(-3.75 + 0.42 * LN(D69) + 0.52 * LN(C69))</f>
        <v>2.0136976141494727</v>
      </c>
      <c r="J69" s="29">
        <f t="shared" ref="J69:J84" si="277">C69^0.515 * D69^0.422 * 0.02349</f>
        <v>1.9879325617446462</v>
      </c>
      <c r="K69" s="29">
        <f t="shared" ref="K69:K84" si="278">IF(B69 &lt; 18,  (0.024265*C69^0.5378) * (D69^0.3964), SQRT(C69*D69/3600))</f>
        <v>1.9730063565015044</v>
      </c>
      <c r="L69" s="125">
        <f t="shared" si="233"/>
        <v>2.0099179507440246</v>
      </c>
      <c r="M69" s="126">
        <f t="shared" si="234"/>
        <v>7.3564542304564759E-2</v>
      </c>
      <c r="N69" s="126">
        <f t="shared" ref="N69:N84" si="279">(M69/L69)*100</f>
        <v>3.6600768841003126</v>
      </c>
      <c r="P69" s="138">
        <f t="shared" ref="P69:P84" si="280" xml:space="preserve"> AVERAGE(E69:K69) * 3.5 * 60</f>
        <v>422.08276965624515</v>
      </c>
      <c r="Q69" s="138">
        <f t="shared" ref="Q69:Q84" si="281">IF(B69&lt; 18, 0.012 * B69^3 - 1.2144 * B69^2 + 40.324 * B69 + 44.414, 325.7924)</f>
        <v>325.79239999999999</v>
      </c>
      <c r="R69" s="138">
        <f t="shared" ref="R69:R84" si="282">3.5 * AVERAGE(E69:K69) * 60</f>
        <v>422.08276965624515</v>
      </c>
      <c r="S69" s="138">
        <f t="shared" ref="S69:S84" si="283">5.528076 - 2.834486 *B69 + 0.012591 *B69^2 + 204.262351 * AVERAGE(E69:K69)+ 19.27429 *AVERAGE(E69:K69)^2</f>
        <v>362.89772870139382</v>
      </c>
      <c r="T69" s="138">
        <f t="shared" ref="T69:T84" si="284">(0.2508 * C69^0.7815) * 60</f>
        <v>468.257133744003</v>
      </c>
      <c r="U69" s="138">
        <f t="shared" ref="U69:U84" si="285">AVERAGE(E69:K69) * 3.5 * 60</f>
        <v>422.08276965624515</v>
      </c>
      <c r="V69" s="138">
        <f t="shared" ref="V69:V84" si="286">IF(B69 &lt;= 16.027, (7.734 + (0.6 - 7.734) * EXP(-0.09747 *B69))*60, (0.000473 * B69^2 - 0.0782 * B69 + 7.37)*60 )</f>
        <v>257.12549999999999</v>
      </c>
      <c r="W69" s="138">
        <f t="shared" ref="W69:W84" si="287">AVERAGE(P69:V69)</f>
        <v>382.90301020201889</v>
      </c>
      <c r="X69" s="138">
        <f t="shared" ref="X69:X84" si="288">STDEV(P69:V69)</f>
        <v>72.309868179106445</v>
      </c>
      <c r="Y69" s="138">
        <f t="shared" ref="Y69:Y84" si="289">(X69/W69)*100</f>
        <v>18.88464343514978</v>
      </c>
      <c r="AA69" s="227">
        <f t="shared" si="228"/>
        <v>0.43887334375000003</v>
      </c>
      <c r="AB69" s="227">
        <f t="shared" si="229"/>
        <v>0.40965846994535515</v>
      </c>
      <c r="AC69" s="227">
        <f t="shared" si="230"/>
        <v>0.47</v>
      </c>
      <c r="AD69" s="227">
        <f t="shared" si="231"/>
        <v>0.43887334375000003</v>
      </c>
      <c r="AE69" s="227">
        <f t="shared" ref="AE69:AE84" si="290">AVERAGE(AA69:AD69)</f>
        <v>0.43935128936133883</v>
      </c>
      <c r="AF69" s="227">
        <f t="shared" ref="AF69:AF84" si="291">STDEV(AA69:AD69)</f>
        <v>2.4640507656414023E-2</v>
      </c>
      <c r="AG69" s="227">
        <f t="shared" ref="AG69:AG84" si="292">(AF69/AE69)*100</f>
        <v>5.6083840546439712</v>
      </c>
      <c r="AI69" s="228">
        <f t="shared" ref="AI69:AI84" si="293">(10^(1.2082*LOG10(AVERAGE(E69:K69))+3.2869)/1000)</f>
        <v>4.4998709294512755</v>
      </c>
      <c r="AJ69" s="228">
        <f t="shared" ref="AJ69:AJ84" si="294">(10^(1.2082*LOG10(AVERAGE(E69:K69))+3.2869)/1000)</f>
        <v>4.4998709294512755</v>
      </c>
      <c r="AK69" s="228">
        <f t="shared" ref="AK69:AK84" si="295">(10^(1.2082*LOG10(AVERAGE(E69:K69))+3.2869)/1000)</f>
        <v>4.4998709294512755</v>
      </c>
      <c r="AL69" s="228">
        <f t="shared" ref="AL69:AL84" si="296">(0.0897 - 0.00000035 *C69 + 0.000000000000654 * C69^2) * C69</f>
        <v>7.2960939533063094</v>
      </c>
      <c r="AM69" s="228">
        <f t="shared" ref="AM69:AM84" si="297">IF(B69 &lt; 18, (0.0018 * B69^5 + 0.0959 * B69^4 - 4.4055 * B69^3 + 45.442 * B69^2 + 82.808 * B69 + 292.26) / 1000, 4.28)</f>
        <v>4.28</v>
      </c>
      <c r="AN69" s="228">
        <f t="shared" ref="AN69:AN84" si="298">IF(B69 &lt;= 1, (-0.0273 * B69 + 0.0771) * C69, IF(B69 &lt; 14.019723, (0.0000328 * B69^3 - 0.00121 * B69^2 + 0.0124 * B69 + 0.0386) *C69,0.065 * C69))</f>
        <v>5.2887033871153841</v>
      </c>
      <c r="AO69" s="228">
        <f t="shared" ref="AO69:AO84" si="299">(2.66 * AVERAGE(E69:K69) - 0.46) / 1.06</f>
        <v>4.6097941028104765</v>
      </c>
      <c r="AP69" s="228">
        <f t="shared" ref="AP69:AP84" si="300">AVERAGE(AI69:AO69)</f>
        <v>4.9963148902265706</v>
      </c>
      <c r="AQ69" s="228">
        <f t="shared" ref="AQ69:AQ84" si="301">STDEV(AI69:AO69)</f>
        <v>1.0627284014686502</v>
      </c>
      <c r="AR69" s="228">
        <f t="shared" ref="AR69:AR84" si="302">(AQ69/AP69)*100</f>
        <v>21.270244666673882</v>
      </c>
      <c r="AT69" s="229">
        <f t="shared" ref="AT69:AT84" si="303">10 * (B69 + 0.315)/(9+6.92 * B69)</f>
        <v>1.4236050566695728</v>
      </c>
      <c r="AU69" s="229">
        <f t="shared" ref="AU69:AU84" si="304">IF(B69 &lt; 18,  (-0.0503 * B69*365.25*24 + 0.907 *  (B69*365.25*24)^(0.769) + 0.0395) / 1000, 1.47)</f>
        <v>1.47</v>
      </c>
      <c r="AV69" s="229">
        <f t="shared" ref="AV69:AV84" si="305">0.3757397 - 0.0003031 * B69 - 0.0021962 * C69 + 0.0065721 * D69</f>
        <v>1.309296511186419</v>
      </c>
      <c r="AW69" s="229">
        <f t="shared" ref="AW69:AW84" si="306">10 * (B69 + 0.315)/(9+6.92 * B69)</f>
        <v>1.4236050566695728</v>
      </c>
      <c r="AX69" s="229">
        <f t="shared" ref="AX69:AX84" si="307">(0.1216 - 0.000003456 * C69*1000 + 0.00000000004354 * (C69*1000)^2 - 0.0000000000000002463 * (C69*1000)^3 + 5.132E-22 * (C69*1000)^4) * B69</f>
        <v>1.2005466079555838</v>
      </c>
      <c r="AY69" s="229">
        <f t="shared" ref="AY69:AY84" si="308">IF(B69 &lt; 18, 10 * (B69 + 0.226) / (6.521 + 7.514 * B69), 1.3)</f>
        <v>1.3</v>
      </c>
      <c r="AZ69" s="229">
        <f t="shared" ref="AZ69:AZ84" si="309">1.3 + (0.347 - 1.3) * EXP(-0.573 * B69)</f>
        <v>1.3</v>
      </c>
      <c r="BA69" s="229">
        <f t="shared" ref="BA69:BA84" si="310">(0.373 * ((3.68 - 2.68 * EXP(-B69/0.89)) * EXP(-B69/629))) / 1.03</f>
        <v>1.2018216625595746</v>
      </c>
      <c r="BB69" s="229">
        <f t="shared" ref="BB69:BB84" si="311">AVERAGE(AT69:BA69)</f>
        <v>1.3286093618800905</v>
      </c>
      <c r="BC69" s="229">
        <f t="shared" ref="BC69:BC84" si="312">STDEV(AT69:BA69)</f>
        <v>0.10178748423135224</v>
      </c>
      <c r="BD69" s="229">
        <f t="shared" ref="BD69:BD84" si="313">(BC69/BB69)*100</f>
        <v>7.6612048019377683</v>
      </c>
      <c r="BF69" s="230">
        <f t="shared" ref="BF69:BF84" si="314">IF(B69 &lt; 18, (0.0597 * B69*365.25*24 + 0.907 * (B69*365.25*24)^(0.769) + 395) / 1000, 11.73)</f>
        <v>11.73</v>
      </c>
      <c r="BG69" s="230">
        <f t="shared" ref="BG69:BG84" si="315">IF(B69 &lt; 18, (-0.002831 * B69^5 - 0.18184 * B69^4 + 10.685 * B69^3 - 142.88 * B69^2 + 782.05 * B69 + 609.64) / 1000, 6.27)</f>
        <v>6.27</v>
      </c>
      <c r="BH69" s="230">
        <f t="shared" ref="BH69:BH84" si="316">IF(B69 &lt; 50, (0.74042 + (2.14976 - 0.74042) / (1 + EXP(12.35466 - B69) / 1.58179)) / 0.65 / 0.5,  (0.74042 + (2.14976 - 0.74042) / (1 + EXP(12.35466 - B69) / 1.58179) - (0.0056 * B69)) / 0.65 / 0.5)</f>
        <v>5.494646153846154</v>
      </c>
      <c r="BI69" s="230">
        <f t="shared" si="235"/>
        <v>7.831548717948718</v>
      </c>
      <c r="BJ69" s="230">
        <f t="shared" si="236"/>
        <v>3.3983430073466452</v>
      </c>
      <c r="BK69" s="230">
        <f t="shared" ref="BK69:BK84" si="317">(BJ69/BI69)*100</f>
        <v>43.392988152626316</v>
      </c>
      <c r="BM69" s="227">
        <f t="shared" ref="BM69:BM84" si="318">IF(B69 &lt; 18,  (1.26*10^(-1) * (B69* 365.25 * 24) + 7.76*10^(-6) * (B69 * 365.25 * 24)^(1.76) + 9.5*10^(-2))/1000,31.73)</f>
        <v>31.73</v>
      </c>
      <c r="BN69" s="227">
        <f t="shared" ref="BN69:BN84" si="319">IF(B69 &lt; 3, 0.09563 * C69 + 0.0165 * D69 + 0.09102 * B69 - 0.1642, IF(B69 &lt; 18, 0.1629 * C69 + 0.02603 * D69 + 0.4661 * B69 - 3.332, 6.78 * AVERAGE(E69:K69)^1.629 - 0.001492 * B69 + 3.58))</f>
        <v>24.623127513467736</v>
      </c>
      <c r="BO69" s="227">
        <f t="shared" ref="BO69:BO84" si="320">(0.1251 + 0.00001458 * (C69*1000) - 0.0000000002927 *(C69*1000)^2 + 0.000000000000002114 * (C69*1000)^3 - 5.25E-21 * (C69*1000)^4) * C69</f>
        <v>22.96741181324094</v>
      </c>
      <c r="BP69" s="227">
        <f t="shared" ref="BP69:BP84" si="321">IF(B69 &lt; 3, 0.09563 * C69 + 0.0165 * D69 + 0.09102 * B69 - 0.1642, IF(B69 &lt; 18, 0.1629 * C69 + 0.02603 * D69 + 0.4661 * B69 - 3.332, 6.78 * AVERAGE(E69:K69)^1.629 - 0.001492 * B69 + 3.58))</f>
        <v>24.623127513467736</v>
      </c>
      <c r="BQ69" s="227">
        <f t="shared" ref="BQ69:BQ84" si="322">IF(B69 &lt; 18, (0.015 * B69^6 - 0.8155*B69^5 + 15.849*B69^4 - 134.99 * B69^3 + 549.43 * B69^2 - 530.65 * B69+ 958.87) / 1040, 15.17)</f>
        <v>15.17</v>
      </c>
      <c r="BR69" s="227">
        <f t="shared" ref="BR69:BR84" si="323">IF(B69 &lt;= 25.90709, (0.2917 + (0.207 - 0.2917) * EXP(-0.339 * B69)) * C69, (0.2917 + (0.207 - 0.2917) * EXP(-0.339 * B69)) * (-0.0001264 * B69^2 + 0.006131 * B69 + 0.926) * C69 )</f>
        <v>18.761191754787909</v>
      </c>
      <c r="BS69" s="227">
        <f t="shared" ref="BS69:BS84" si="324">IF(B69 &lt; 19, (7 /(1 + (6.5 * EXP(-0.55 * B69)))) + (13 / (1 + EXP(-0.75 * (B69 - 11.5)))), 19.95)</f>
        <v>19.95</v>
      </c>
      <c r="BT69" s="227">
        <f t="shared" si="237"/>
        <v>22.546408370709191</v>
      </c>
      <c r="BU69" s="227">
        <f t="shared" si="238"/>
        <v>5.3012848382319433</v>
      </c>
      <c r="BV69" s="227">
        <f t="shared" ref="BV69:BV84" si="325">(BU69/BT69)*100</f>
        <v>23.512768646198317</v>
      </c>
      <c r="BX69" s="231">
        <f t="shared" ref="BX69:BX84" si="326">IF(B69 &lt;= 12, 0.02053*D69/100*(C69^0.5+0.01266), 0.0154+0.00204*C69 + 0.0518*(D69/100)^2*(0.02053*(D69/100)*C69^0.5+0.01266)/(0.0154 + 0.00204 *C69+0.0518*(D69/100)^2) )</f>
        <v>0.33347475458199871</v>
      </c>
      <c r="BY69" s="231">
        <f t="shared" ref="BY69:BY84" si="327">0.0458676 - 0.0003957 * B69 + 0.0035115 * C69</f>
        <v>0.30585912990547182</v>
      </c>
      <c r="BZ69" s="231">
        <f t="shared" ref="BZ69:BZ84" si="328">(0.00726 - 0.0000000669 * (C69*1000) + 0.000000000000333 * (C69*1000)^2) * C69</f>
        <v>0.32718631691354094</v>
      </c>
      <c r="CA69" s="231">
        <f t="shared" ref="CA69:CA84" si="329">IF(B69 &lt; 18, (0.0012676 * B69^5 - 0.066825 * B69^4 + 1.2345 * B69^3 - 9.4597 * B69^2 + 39.005 * B69 + 27.161)/1050, 0.24)</f>
        <v>0.24</v>
      </c>
      <c r="CB69" s="231">
        <f t="shared" ref="CB69:CB84" si="330">(0.0046 + (0.00709 - 0.0046) * EXP(-0.221 * B69))  * C69</f>
        <v>0.37427758742136519</v>
      </c>
      <c r="CC69" s="231">
        <f t="shared" ref="CC69:CC84" si="331">((10.65 * D69/100 * SQRT(C69 + 6.11) + (9.88 * D69/100 * SQRT(C69) + 6.55)) / 1050)</f>
        <v>0.3158150916368212</v>
      </c>
      <c r="CD69" s="231">
        <f t="shared" ref="CD69:CD84" si="332">IF(B69 &lt; 18, (3.17*10^(-2) * (B69*365.25*24) + 1.44*10^(-2) * (B69*365.25*24)^(1.06) + 38) / 20000, 0.48)</f>
        <v>0.48</v>
      </c>
      <c r="CE69" s="231">
        <f t="shared" ref="CE69:CE84" si="333">EXP(-2.306 * ((D69/100)^(-1.93)))</f>
        <v>0.44597310049686079</v>
      </c>
      <c r="CF69" s="231">
        <f t="shared" ref="CF69:CF84" si="334">AVERAGE(BX69:CE69)</f>
        <v>0.35282324761950734</v>
      </c>
      <c r="CG69" s="231">
        <f t="shared" ref="CG69:CG84" si="335">STDEV(BX69:CE69)</f>
        <v>7.8054050592805554E-2</v>
      </c>
      <c r="CH69" s="231">
        <f t="shared" si="239"/>
        <v>22.122706233060025</v>
      </c>
      <c r="CJ69" s="232">
        <f t="shared" ref="CJ69:CJ84" si="336">IF(B69 &lt;= 22, 0.05012*C69^0.78, (1.07828 * AVERAGE(E69:K69) - 0.3457) * (0.05012*61.91^0.78 / (1.0728 * 1.73 - 0.3457)) )</f>
        <v>1.5100088722824305</v>
      </c>
      <c r="CK69" s="232">
        <f t="shared" ref="CK69:CK84" si="337">IF(B69 &lt;= 22, 0.05012*C69^0.78, (1.07828 * AVERAGE(E69:K69) - 0.3457) * (0.05012*61.91^0.78 / (1.0728 * 1.73 - 0.3457)) )</f>
        <v>1.5100088722824305</v>
      </c>
      <c r="CL69" s="232">
        <f t="shared" ref="CL69:CL84" si="338">IF(B69 &lt; 18, (2.79*10^-3 * (B69*365.25*24) + 1.1 * (B69*365.25*24)^(6.03*10^-1) + 1.6*10^2) / 1000, 2.1)</f>
        <v>2.1</v>
      </c>
      <c r="CM69" s="232">
        <f t="shared" ref="CM69:CM84" si="339">(0.0233 + (0.038 - 0.0233) * EXP(-0.122 * B69)) * C69</f>
        <v>1.8962270789694273</v>
      </c>
      <c r="CN69" s="232">
        <f t="shared" ref="CN69:CN84" si="340">0.0017717 - 0.0030113 *B69 + 0.0253455 * C69</f>
        <v>1.8682653799712763</v>
      </c>
      <c r="CO69" s="232">
        <f t="shared" ref="CO69:CO84" si="341">0.05012 * C69^0.78</f>
        <v>1.5493553225581451</v>
      </c>
      <c r="CP69" s="232">
        <f t="shared" ref="CP69:CP84" si="342">IF(B69 &lt;= 22, 0.05012*C69^0.78, (1.07828 * AVERAGE(E69:K69) - 0.3457) * (0.05012*61.96^0.78 / (1.0728 * 1.73 - 0.3457)) )</f>
        <v>1.5109600129058913</v>
      </c>
      <c r="CQ69" s="232">
        <f t="shared" ref="CQ69:CQ84" si="343">(3.939*10^(-2) - 7.058*10^(-7) * C69*1000 + 1.155*10^(-11) * (C69* 1000)^2 - 8.016*10^(-17) * (C69 * 1000)^3 + 1.869*10^(-22) * (C69 * 1000)^4) * C69</f>
        <v>1.9071273974943044</v>
      </c>
      <c r="CR69" s="232">
        <f t="shared" ref="CR69:CR84" si="344">0.0501 * C69</f>
        <v>4.0763698414535492</v>
      </c>
      <c r="CS69" s="232">
        <f t="shared" ref="CS69:CS84" si="345">IF(B69 &lt; 18, (0.0057 * B69^5 - 0.3396 * B69^4 + 7.0134 * B69^3 - 59.539 * B69^2 + 251.9 * B69 + 139.65) / 1050, 1.41)</f>
        <v>1.41</v>
      </c>
      <c r="CT69" s="232">
        <f t="shared" ref="CT69:CT84" si="346">(674.3 * D69/100 + 6.5 * C69 - 214.4) / 1050</f>
        <v>1.4055779463638536</v>
      </c>
      <c r="CU69" s="232">
        <f t="shared" ref="CU69:CU84" si="347">AVERAGE(CJ69:CT69)</f>
        <v>1.8858091567528463</v>
      </c>
      <c r="CV69" s="232">
        <f t="shared" ref="CV69:CV84" si="348">STDEV(CJ69:CT69)</f>
        <v>0.76409984656244068</v>
      </c>
      <c r="CW69" s="232">
        <f t="shared" si="240"/>
        <v>40.518407911335821</v>
      </c>
      <c r="CY69" s="229">
        <f t="shared" si="241"/>
        <v>1.19</v>
      </c>
      <c r="CZ69" s="229">
        <f t="shared" si="242"/>
        <v>0.7993993840462631</v>
      </c>
      <c r="DA69" s="229">
        <f t="shared" si="243"/>
        <v>0.51279167322073682</v>
      </c>
      <c r="DB69" s="229">
        <f t="shared" si="244"/>
        <v>1.2121633005927097</v>
      </c>
      <c r="DC69" s="229">
        <f t="shared" si="245"/>
        <v>0.57999999999999996</v>
      </c>
      <c r="DD69" s="229">
        <f t="shared" si="246"/>
        <v>0.56955267245857977</v>
      </c>
      <c r="DE69" s="229">
        <f t="shared" si="247"/>
        <v>0.8</v>
      </c>
      <c r="DF69" s="229">
        <f t="shared" si="248"/>
        <v>0.80912957575975564</v>
      </c>
      <c r="DG69" s="229">
        <f t="shared" si="249"/>
        <v>0.2902269504951987</v>
      </c>
      <c r="DH69" s="229">
        <f t="shared" si="250"/>
        <v>35.869032499854143</v>
      </c>
      <c r="DJ69" s="234">
        <f t="shared" ref="DJ69:DJ84" si="349">1.48*10^(-3) * C69</f>
        <v>0.12041970789124258</v>
      </c>
      <c r="DK69" s="234">
        <f t="shared" ref="DK69:DK84" si="350">0.002 * C69</f>
        <v>0.16272933498816566</v>
      </c>
      <c r="DL69" s="234">
        <f t="shared" ref="DL69:DL84" si="351">(7.92*(D69/100)*SQRT(C69)-2.09)/1045</f>
        <v>0.11574715805260855</v>
      </c>
      <c r="DM69" s="234">
        <f t="shared" si="251"/>
        <v>0.13296540031067225</v>
      </c>
      <c r="DN69" s="234">
        <f t="shared" si="252"/>
        <v>2.588198284740182E-2</v>
      </c>
      <c r="DO69" s="234">
        <f t="shared" si="253"/>
        <v>19.465201313220462</v>
      </c>
      <c r="DQ69" s="229">
        <f t="shared" ref="DQ69:DQ84" si="352">IF(B69 &lt;= 18,  (2.88*10^(-1) * (B69*365.25*24) + 2.71*10^(-1) * (B69 * 365.25 * 24)^0.998 + 200) / 25000, 3.49)</f>
        <v>3.49</v>
      </c>
      <c r="DR69" s="229">
        <f t="shared" ref="DR69:DR84" si="353">IF(B69 &lt; 10, 0.664 * AVERAGE(E69:K69) + 7.85*10^(-2)*AVERAGE(E69:K69)^1.049, IF(B69 &lt; 20, (-9.356*10^(-5) - 2.151*10^(-5) * B69 - 5.058*10^(-1) * AVERAGE(E69:K69) + 1.134*10^(-6) * B69^2 + 0.117 * B69 * AVERAGE(E69:K69) - 1.673*10^(-5) * AVERAGE(E69:K69)^2) +  (7.85*10^(-2)*AVERAGE(E69:K69)^1.049), 1.834 * AVERAGE(E69:K69) + (7.85*10^(-2) * AVERAGE(E69:K69)^1.049)))</f>
        <v>3.8494585182914545</v>
      </c>
      <c r="DS69" s="229">
        <f t="shared" ref="DS69:DS84" si="354">AVERAGE(E69:K69)*10000 * 0.15 / 1000</f>
        <v>3.0148769261160369</v>
      </c>
      <c r="DT69" s="229">
        <f t="shared" ref="DT69:DT84" si="355">(1.03 * 10^(-1) - 2.56 * 10^(-6) * C69*1000 + 3.68 * 10^(-11) * (C69*1000)^2 - 2.58 * 10^(-16) * (C69 * 1000)^3 + 8.62 * 10^(-22) * ( C69* 1000)^4 - 1.1 * 10^(-27) * (C69*1000)^5)  * C69</f>
        <v>2.7024946865585364</v>
      </c>
      <c r="DU69" s="229">
        <f t="shared" ref="DU69:DU84" si="356">IF(B69 &lt; 10, 0.664 *AVERAGE(E69:K69) + 7.85*10^(-2)*AVERAGE(E69:K69)^1.049, IF(B69 &lt; 20, (-9.356*10^(-5) - 2.151*10^(-5) * B69 - 5.058*10^(-1) * AVERAGE(E69:K69) + 1.134*10^(-6) * B69^2 + 0.117 * B69 * AVERAGE(E69:K69) - 1.673*10^(-5) * AVERAGE(E69:K69)^2) +  (7.85*10^(-2)*AVERAGE(E69:K69)^1.049), 1.834 *AVERAGE(E69:K69) + (7.85*10^(-2) * AVERAGE(E69:K69)^1.049)))</f>
        <v>3.8494585182914545</v>
      </c>
      <c r="DV69" s="229">
        <f t="shared" ref="DV69:DV84" si="357">IF(B69 &lt; 18, (4.75522*10^(-3) * B69^5 - 0.27924 * B69^4 + 6.3444 * B69^3 - 70.113 * B69^2 + 429.85 * B69 + 252.06) / 1000, 1.97)</f>
        <v>1.97</v>
      </c>
      <c r="DW69" s="229">
        <f t="shared" ref="DW69:DW84" si="358">IF(B69 &lt; 20,  (-7.8882*10^(-6) * B69^3 + 4.0224*10^(-4) * B69^2 - 5.2146*10^(-3) * B69 + 4.5605 * 10^(-2)) * B69, 0.0383 * B69)</f>
        <v>2.4895</v>
      </c>
      <c r="DX69" s="229">
        <f t="shared" ref="DX69:DX84" si="359">EXP(1.64 * AVERAGE(E69:K69) - 1.93) / 1.116</f>
        <v>3.513155284978501</v>
      </c>
      <c r="DY69" s="229">
        <f t="shared" si="254"/>
        <v>3.109867991779498</v>
      </c>
      <c r="DZ69" s="229">
        <f t="shared" si="255"/>
        <v>0.68245994907210206</v>
      </c>
      <c r="EA69" s="229">
        <f t="shared" si="256"/>
        <v>21.944981294257175</v>
      </c>
      <c r="EC69" s="235">
        <f t="shared" ref="EC69:EC84" si="360">(3.12 * 10^(-3) - 5.57 * 10^(-9) * C69*1000) * C69</f>
        <v>0.21698319780306422</v>
      </c>
      <c r="ED69" s="235">
        <f t="shared" ref="ED69:ED84" si="361">IF(B69 &lt; 18, (6.3696*10^(-4) * B69^5 - 3.5327*10^(-2) * B69^4 + 0.7073 * B69^3 - 6.0357 * B69^2 + 26.311 * B69 + 8.1692) / 1054, 0.15)</f>
        <v>0.15</v>
      </c>
      <c r="EE69" s="235">
        <f t="shared" ref="EE69:EE84" si="362">0.0022 * C69</f>
        <v>0.17900226848698222</v>
      </c>
      <c r="EF69" s="235">
        <f t="shared" ref="EF69:EF84" si="363">(9.36 *D69/100 * SQRT(C69) + 7.98) / 1054</f>
        <v>0.14553865293640564</v>
      </c>
      <c r="EG69" s="235">
        <f t="shared" ref="EG69:EG84" si="364">AVERAGE(EC69:EF69)</f>
        <v>0.17288102980661302</v>
      </c>
      <c r="EH69" s="235">
        <f t="shared" ref="EH69:EH84" si="365">STDEV(EC69:EF69)</f>
        <v>3.2932344196816676E-2</v>
      </c>
      <c r="EI69" s="235">
        <f t="shared" si="257"/>
        <v>19.049136989555898</v>
      </c>
      <c r="EK69" s="236">
        <f t="shared" ref="EK69:EK84" si="366">IF(B69 &lt; 18, (0.038*B69^5 - 2.6629*B69^4 + 60.433*B69^3 - 479.37*B69^2 + 1592.3*B69 + 912.36)/916, (0.038*18^5 - 2.6629*18^4 + 60.433*18^3 - 479.37*18^2 + 1592.3*18 + 912.36)/916)</f>
        <v>20.705381659388649</v>
      </c>
      <c r="EL69" s="236">
        <f t="shared" ref="EL69:EL84" si="367">IF(B69 &lt; 25, ((1.5334 * EXP(-0.103 * B69) + 0.67) * (C69/(D69/100)^2) + 0.6276 * B69 + 1.0301) * C69/100, (1.9224 * (C69/(D69/100)^2) - 0.018517 * (C69/(D69/100)^2)^2 + 0.05537 * B69 - 0.794894) * 0.979 * C69/100)</f>
        <v>33.137837746989412</v>
      </c>
      <c r="EM69" s="236">
        <f t="shared" ref="EM69:EM84" si="368">IF(B69&lt;=25,((1.5334*EXP(-0.103*B69)+0.67)*(C69/(D69/100)^2)+0.6276*B69+1.0301)*C69/100, (1.9224*(C69/(D69/100)^2)-0.018517*(C69/(D69/100)^2)^2+0.05537*B69-0.794894) *C69/100)</f>
        <v>33.848659598559159</v>
      </c>
      <c r="EN69" s="236">
        <f t="shared" ref="EN69:EN84" si="369">IF(B69 &lt;= 18, (2.54*10^(-2) * (B69 * 365.25 * 24) + 1.88 * 10^1 *(B69 * 365.25 * 24)^(5.2*10^(-1)) + 9.06 * 10^(-2)) / 1000, 14.4)</f>
        <v>14.4</v>
      </c>
      <c r="EO69" s="236">
        <f t="shared" ref="EO69:EO84" si="370">6.132 * 10^(-1) + 8.475 * 10^(-2) * B69 + 8.151 * 10^(-5) * B69^2 + 1.341*10^(-1) * C69 + 2.297 * 10^(-3) * C69^2</f>
        <v>32.583952001379345</v>
      </c>
      <c r="EP69" s="236">
        <f t="shared" ref="EP69:EP84" si="371">IF(B69 &lt; 25, ((1.5334 * EXP(-0.103 * B69) + 0.67) * (C69/(D69/100)^2) + 0.6276 * B69 + 1.0301) * C69 / 100, (1.9224 * (C69/(D69/100)^2) - 0.018517 * (C69/(D69/100)^2)^2 + 0.05537*B69 - 0.794894) * C69/100)</f>
        <v>33.848659598559159</v>
      </c>
      <c r="EQ69" s="236">
        <f t="shared" ref="EQ69:EQ84" si="372">(9.217 * 10^(-2) + 1.401 * 10^(-5) * (C69*1000) - 6.787*10^(-10) * (C69*1000)^2 + 1.54 * 10^(-14) * (C69*1000)^3 - 1.558*10^(-19) *(C69*1000)^4 + 7.249 * 10^(-25) * (C69*1000)^5 - 1.274 * 10^(-30) * (C69*1000)^6) * (C69)</f>
        <v>34.274349439372457</v>
      </c>
      <c r="ER69" s="236">
        <f t="shared" ref="ER69:ER84" si="373">AVERAGE(EK69:EQ69)</f>
        <v>28.971262863464027</v>
      </c>
      <c r="ES69" s="236">
        <f t="shared" ref="ES69:ES84" si="374">STDEV(EK69:EQ69)</f>
        <v>8.0286890548613403</v>
      </c>
      <c r="ET69" s="236">
        <f t="shared" si="258"/>
        <v>27.712596073906077</v>
      </c>
      <c r="EV69" s="238">
        <f t="shared" ref="EV69:EV84" si="375">(2 * 10^(-4) + (1.71*10^(-3) - 2 * 10^(-4)) * EXP(-2.02 *B69)) * C69</f>
        <v>1.6272933498816564E-2</v>
      </c>
      <c r="EW69" s="238">
        <f t="shared" ref="EW69:EW84" si="376">AVERAGE(EV69)</f>
        <v>1.6272933498816564E-2</v>
      </c>
      <c r="EX69" s="238" t="e">
        <f t="shared" ref="EX69:EX84" si="377">STDEV(EV69)</f>
        <v>#DIV/0!</v>
      </c>
      <c r="EY69" s="238" t="e">
        <f t="shared" si="259"/>
        <v>#DIV/0!</v>
      </c>
      <c r="FA69" s="240">
        <f t="shared" ref="FA69:FA84" si="378">0.0062 *C69</f>
        <v>0.50446093846331352</v>
      </c>
      <c r="FB69" s="240">
        <f t="shared" ref="FB69:FB84" si="379">(0.00833 * 1/(1+EXP(-1.92*B69 + 28.6))) * C69</f>
        <v>0.67776768022570999</v>
      </c>
      <c r="FC69" s="240">
        <f t="shared" ref="FC69:FC84" si="380">AVERAGE(FA69:FB69)</f>
        <v>0.5911143093445117</v>
      </c>
      <c r="FD69" s="240">
        <f t="shared" ref="FD69:FD84" si="381">STDEV(FA69:FB69)</f>
        <v>0.12254637232553714</v>
      </c>
      <c r="FE69" s="240">
        <f t="shared" si="260"/>
        <v>20.731416984547227</v>
      </c>
      <c r="FG69" s="236">
        <f t="shared" ref="FG69:FG84" si="382">IF(B69 &lt; 18,  (8.2 * 10^(-2) * (B69 * 365.25 * 24) + 4.41*10^(-2) * (B69 * 365.25 * 24)^(1.04) + 9*10^1) / 20000, 1.2)</f>
        <v>1.2</v>
      </c>
      <c r="FH69" s="236">
        <f t="shared" ref="FH69:FH84" si="383">0.027 * (C69 - AVERAGE(EL69:EQ69))</f>
        <v>1.3774254596083684</v>
      </c>
      <c r="FI69" s="236">
        <f t="shared" ref="FI69:FI84" si="384">1.65 * 10^(-2) * C69</f>
        <v>1.3425170136523668</v>
      </c>
      <c r="FJ69" s="236">
        <f t="shared" ref="FJ69:FJ84" si="385">IF(B69 &lt; 18, (-0.0513 * B69^4 + 2.0352 * B69^3 - 23.478 * B69^2 + 110.61 * B69 + 49.229) / 1040, 0.92)</f>
        <v>0.92</v>
      </c>
      <c r="FK69" s="236">
        <f t="shared" ref="FK69:FK84" si="386">IF(B69 &lt; 14.453301, (-7.421*10^(-5) * B69^2 + 1.276*10^(-3) * B69 + 1.298*10^(-2)) * C69, 0.016 * C69)</f>
        <v>1.3018346799053253</v>
      </c>
      <c r="FL69" s="236">
        <f t="shared" ref="FL69:FL84" si="387">IF(B69 &lt; 18, (-4.7817*10^(-2) * B69^4 + 1.925 * B69^3 - 22.382 * B69^2 + 107.09 * B69 + 51.125) / 1040, 0.9)</f>
        <v>0.9</v>
      </c>
      <c r="FM69" s="236">
        <f t="shared" ref="FM69:FM84" si="388">AVERAGE(FG69:FL69)</f>
        <v>1.1736295255276767</v>
      </c>
      <c r="FN69" s="236">
        <f t="shared" ref="FN69:FN84" si="389">STDEV(FG69:FL69)</f>
        <v>0.21278570599815891</v>
      </c>
      <c r="FO69" s="236">
        <f t="shared" si="261"/>
        <v>18.130568579764393</v>
      </c>
      <c r="FQ69" s="227">
        <f t="shared" ref="FQ69:FQ84" si="390">IF(B69 &lt; 18,  (4.68*10^(-2)*(B69*365.25 *24)-3.81*10^(-2) *(B69*365.25*24)^(1.01)+2.8*10^1)/2000,0.32)</f>
        <v>0.32</v>
      </c>
      <c r="FR69" s="227">
        <f t="shared" ref="FR69:FR84" si="391">1.017*10^(-7) * (D69^(0.6862) * C69^(0.3561) *242.7)^1.42</f>
        <v>0.34597334913269812</v>
      </c>
      <c r="FS69" s="227">
        <f t="shared" ref="FS69:FS84" si="392">1.017*10^(-7) * (D69^(0.6862) * C69^(0.3561) *242.7)^1.42</f>
        <v>0.34597334913269812</v>
      </c>
      <c r="FT69" s="227">
        <f t="shared" ref="FT69:FT84" si="393">IF(B69 &lt; 18,  (4.246*10^(-4) * B69^5 - 2.97679*10^(-2) * B69^4 + 0.6539 * B69^3 - 5.5116 * B69^2 + 28.486 * B69 + 21.509) / 1030, 0.24)</f>
        <v>0.24</v>
      </c>
      <c r="FU69" s="227">
        <f t="shared" ref="FU69:FU84" si="394">0.004167 * C69</f>
        <v>0.33904656944784312</v>
      </c>
      <c r="FV69" s="227">
        <f t="shared" si="262"/>
        <v>0.31819865354264787</v>
      </c>
      <c r="FW69" s="227">
        <f t="shared" si="263"/>
        <v>4.4988268728560099E-2</v>
      </c>
      <c r="FX69" s="227">
        <f t="shared" si="264"/>
        <v>14.13842209188681</v>
      </c>
      <c r="FZ69" s="230">
        <f t="shared" ref="FZ69:FZ84" si="395">2.1 * 10^(-2) * C69</f>
        <v>1.7086580173757393</v>
      </c>
      <c r="GA69" s="230">
        <f t="shared" ref="GA69:GA84" si="396">IF(B69 &lt; 18,  (7.984*10^(-4) * B69^6 - 0.037966 * B69^5 + 0.5272 * B69^4 - 1.1311 * B69^3 - 12.285 * B69^2 + 123.87 * B69 + 53.358) / 1000, 2.47)</f>
        <v>2.4700000000000002</v>
      </c>
      <c r="GB69" s="230">
        <f t="shared" ref="GB69:GB84" si="397">(0.045 + (0.0138 - 0.045) * EXP(-0.136 * B69)) * C69</f>
        <v>3.6610423934492893</v>
      </c>
      <c r="GC69" s="230">
        <f t="shared" ref="GC69:GC84" si="398">AVERAGE(FZ69:GB69)</f>
        <v>2.6132334702750097</v>
      </c>
      <c r="GD69" s="230">
        <f t="shared" ref="GD69:GD84" si="399">STDEV(FZ69:GB69)</f>
        <v>0.98404169537641728</v>
      </c>
      <c r="GE69" s="230">
        <f t="shared" si="265"/>
        <v>37.656095659637309</v>
      </c>
      <c r="GG69" s="231">
        <f t="shared" ref="GG69:GG84" si="400">0.0014 * C69</f>
        <v>0.11391053449171595</v>
      </c>
      <c r="GH69" s="231">
        <f t="shared" ref="GH69:GH84" si="401">IF(B69 &lt; 18, (8.52*10^(-2) * (B69 * 365.25 * 24) + 8.31*10^(-2) * (B69 * 365.24 * 24)^(9.99*10^-1) + 1.1) / 500000, 0.05)</f>
        <v>0.05</v>
      </c>
      <c r="GI69" s="231">
        <f t="shared" ref="GI69:GI84" si="402">IF(B69 &lt; 18,  (0.0044 * B69^3 + 0.0412 * B69^2 + 0.2333 * B69 + 2.1725) / 1050, 0.05)</f>
        <v>0.05</v>
      </c>
      <c r="GJ69" s="231">
        <f t="shared" ref="GJ69:GJ84" si="403">IF(B69 &lt; 1, (-1.064*10^(-3) * B69 + 1.338*10^(-3)) * C69,  IF(B69 &lt; 20, (2.638*10^(-7) * B69^3 - 1.7943*10^(-6) * B69^2 - 5.6465*10^(-6) * B69 + 2.8105*10^(-4)) * C69, 0.001552 * C69))</f>
        <v>0.12627796395081653</v>
      </c>
      <c r="GK69" s="245">
        <f t="shared" ref="GK69:GK84" si="404">AVERAGE(GH69:GJ69)</f>
        <v>7.5425987983605516E-2</v>
      </c>
      <c r="GL69" s="231">
        <f t="shared" ref="GL69:GL84" si="405">STDEV(GH69:GJ69)</f>
        <v>4.4039103020240493E-2</v>
      </c>
      <c r="GM69" s="231">
        <f t="shared" si="266"/>
        <v>58.387174232060133</v>
      </c>
      <c r="GO69" s="246">
        <f t="shared" ref="GO69:GO84" si="406">IF( B69&lt; 18,  (0.0008 * B69^5 - 0.0356 * B69^4 + 0.5823 * B69^3 - 4.0437 * B69^2 + 17.888 * B69 + 7.54)  / 1040, 0.18)</f>
        <v>0.18</v>
      </c>
      <c r="GP69" s="246">
        <f t="shared" ref="GP69:GP84" si="407">0.0023 * C69</f>
        <v>0.18713873523639049</v>
      </c>
      <c r="GQ69" s="247">
        <f t="shared" si="188"/>
        <v>0.18356936761819526</v>
      </c>
      <c r="GR69" s="246">
        <f t="shared" si="189"/>
        <v>5.0478480947470719E-3</v>
      </c>
      <c r="GS69" s="246">
        <f t="shared" si="267"/>
        <v>2.749831390848422</v>
      </c>
      <c r="GU69" s="249">
        <f t="shared" ref="GU69:GU84" si="408">0.0002833 * C69</f>
        <v>2.3050610301073665E-2</v>
      </c>
      <c r="GV69" s="249">
        <f t="shared" ref="GV69:GV84" si="409">AVERAGE(GU69)</f>
        <v>2.3050610301073665E-2</v>
      </c>
      <c r="GW69" s="249" t="e">
        <f t="shared" ref="GW69:GW84" si="410">STDEV(GU69)</f>
        <v>#DIV/0!</v>
      </c>
      <c r="GX69" s="249" t="e">
        <f t="shared" si="268"/>
        <v>#DIV/0!</v>
      </c>
      <c r="GZ69" s="240">
        <f t="shared" ref="GZ69:GZ84" si="411">3*10^(-4) * C69</f>
        <v>2.4409400248224848E-2</v>
      </c>
      <c r="HA69" s="240">
        <f t="shared" ref="HA69:HA84" si="412">AVERAGE(GZ69)</f>
        <v>2.4409400248224848E-2</v>
      </c>
      <c r="HB69" s="240" t="e">
        <f t="shared" ref="HB69:HB84" si="413">STDEV(GZ69)</f>
        <v>#DIV/0!</v>
      </c>
      <c r="HC69" s="240" t="e">
        <f t="shared" si="269"/>
        <v>#DIV/0!</v>
      </c>
      <c r="HE69" s="234">
        <f t="shared" ref="HE69:HE84" si="414">1.19*10^(-3) * C69 - 4.302*10^(-4)</f>
        <v>9.6393754317958547E-2</v>
      </c>
      <c r="HF69" s="234">
        <f t="shared" ref="HF69:HF84" si="415">1.19*10^(-3) * C69 - 4.302*10^(-4)</f>
        <v>9.6393754317958547E-2</v>
      </c>
      <c r="HG69" s="251">
        <f t="shared" si="190"/>
        <v>9.6393754317958547E-2</v>
      </c>
      <c r="HH69" s="234">
        <f t="shared" si="191"/>
        <v>0</v>
      </c>
      <c r="HI69" s="234">
        <f t="shared" si="270"/>
        <v>0</v>
      </c>
    </row>
    <row r="70" spans="2:217" ht="15.6" x14ac:dyDescent="0.25">
      <c r="B70">
        <v>66</v>
      </c>
      <c r="C70" s="124">
        <f t="shared" si="271"/>
        <v>81.498436539695831</v>
      </c>
      <c r="D70" s="124">
        <f t="shared" si="272"/>
        <v>171.61321357235033</v>
      </c>
      <c r="E70" s="29">
        <f t="shared" si="273"/>
        <v>2.1679275566399259</v>
      </c>
      <c r="F70" s="29">
        <f t="shared" si="274"/>
        <v>1.9874222406252697</v>
      </c>
      <c r="G70" s="29">
        <f t="shared" si="232"/>
        <v>1.9438110262004269</v>
      </c>
      <c r="H70" s="29">
        <f t="shared" si="275"/>
        <v>1.9865765290335144</v>
      </c>
      <c r="I70" s="29">
        <f t="shared" si="276"/>
        <v>2.0123551110494988</v>
      </c>
      <c r="J70" s="29">
        <f t="shared" si="277"/>
        <v>1.9865765290335144</v>
      </c>
      <c r="K70" s="29">
        <f t="shared" si="278"/>
        <v>1.9710550330343013</v>
      </c>
      <c r="L70" s="125">
        <f t="shared" si="233"/>
        <v>2.0079605750880645</v>
      </c>
      <c r="M70" s="126">
        <f t="shared" si="234"/>
        <v>7.3509986650036468E-2</v>
      </c>
      <c r="N70" s="126">
        <f t="shared" si="279"/>
        <v>3.6609277872307078</v>
      </c>
      <c r="P70" s="138">
        <f t="shared" si="280"/>
        <v>421.67172076849351</v>
      </c>
      <c r="Q70" s="138">
        <f t="shared" si="281"/>
        <v>325.79239999999999</v>
      </c>
      <c r="R70" s="138">
        <f t="shared" si="282"/>
        <v>421.67172076849351</v>
      </c>
      <c r="S70" s="138">
        <f t="shared" si="283"/>
        <v>361.16126294038014</v>
      </c>
      <c r="T70" s="138">
        <f t="shared" si="284"/>
        <v>468.85866084526026</v>
      </c>
      <c r="U70" s="138">
        <f t="shared" si="285"/>
        <v>421.67172076849351</v>
      </c>
      <c r="V70" s="138">
        <f t="shared" si="286"/>
        <v>256.15127999999999</v>
      </c>
      <c r="W70" s="138">
        <f t="shared" si="287"/>
        <v>382.42553801301722</v>
      </c>
      <c r="X70" s="138">
        <f t="shared" si="288"/>
        <v>72.682119829508977</v>
      </c>
      <c r="Y70" s="138">
        <f t="shared" si="289"/>
        <v>19.005561241319345</v>
      </c>
      <c r="AA70" s="227">
        <f t="shared" si="228"/>
        <v>0.43896698040000004</v>
      </c>
      <c r="AB70" s="227">
        <f t="shared" si="229"/>
        <v>0.40976415094339619</v>
      </c>
      <c r="AC70" s="227">
        <f t="shared" si="230"/>
        <v>0.47</v>
      </c>
      <c r="AD70" s="227">
        <f t="shared" si="231"/>
        <v>0.43896698040000004</v>
      </c>
      <c r="AE70" s="227">
        <f t="shared" si="290"/>
        <v>0.43942452793584907</v>
      </c>
      <c r="AF70" s="227">
        <f t="shared" si="291"/>
        <v>2.459685721642248E-2</v>
      </c>
      <c r="AG70" s="227">
        <f t="shared" si="292"/>
        <v>5.5975157627098451</v>
      </c>
      <c r="AI70" s="228">
        <f t="shared" si="293"/>
        <v>4.4945768470053089</v>
      </c>
      <c r="AJ70" s="228">
        <f t="shared" si="294"/>
        <v>4.4945768470053089</v>
      </c>
      <c r="AK70" s="228">
        <f t="shared" si="295"/>
        <v>4.4945768470053089</v>
      </c>
      <c r="AL70" s="228">
        <f t="shared" si="296"/>
        <v>7.3080854133234636</v>
      </c>
      <c r="AM70" s="228">
        <f t="shared" si="297"/>
        <v>4.28</v>
      </c>
      <c r="AN70" s="228">
        <f t="shared" si="298"/>
        <v>5.2973983750802294</v>
      </c>
      <c r="AO70" s="228">
        <f t="shared" si="299"/>
        <v>4.6048821978625014</v>
      </c>
      <c r="AP70" s="228">
        <f t="shared" si="300"/>
        <v>4.996299503897446</v>
      </c>
      <c r="AQ70" s="228">
        <f t="shared" si="301"/>
        <v>1.0689936062571752</v>
      </c>
      <c r="AR70" s="228">
        <f t="shared" si="302"/>
        <v>21.395707071269225</v>
      </c>
      <c r="AT70" s="229">
        <f t="shared" si="303"/>
        <v>1.423924246328266</v>
      </c>
      <c r="AU70" s="229">
        <f t="shared" si="304"/>
        <v>1.47</v>
      </c>
      <c r="AV70" s="229">
        <f t="shared" si="305"/>
        <v>1.3046074345903635</v>
      </c>
      <c r="AW70" s="229">
        <f t="shared" si="306"/>
        <v>1.423924246328266</v>
      </c>
      <c r="AX70" s="229">
        <f t="shared" si="307"/>
        <v>1.2176376209485071</v>
      </c>
      <c r="AY70" s="229">
        <f t="shared" si="308"/>
        <v>1.3</v>
      </c>
      <c r="AZ70" s="229">
        <f t="shared" si="309"/>
        <v>1.3</v>
      </c>
      <c r="BA70" s="229">
        <f t="shared" si="310"/>
        <v>1.1999124943155353</v>
      </c>
      <c r="BB70" s="229">
        <f t="shared" si="311"/>
        <v>1.3300007553138673</v>
      </c>
      <c r="BC70" s="229">
        <f t="shared" si="312"/>
        <v>9.9453057003579939E-2</v>
      </c>
      <c r="BD70" s="229">
        <f t="shared" si="313"/>
        <v>7.4776692123088297</v>
      </c>
      <c r="BF70" s="230">
        <f t="shared" si="314"/>
        <v>11.73</v>
      </c>
      <c r="BG70" s="230">
        <f t="shared" si="315"/>
        <v>6.27</v>
      </c>
      <c r="BH70" s="230">
        <f t="shared" si="316"/>
        <v>5.4774153846153846</v>
      </c>
      <c r="BI70" s="230">
        <f t="shared" si="235"/>
        <v>7.8258051282051282</v>
      </c>
      <c r="BJ70" s="230">
        <f t="shared" si="236"/>
        <v>3.4042768381622728</v>
      </c>
      <c r="BK70" s="230">
        <f t="shared" si="317"/>
        <v>43.500659451547754</v>
      </c>
      <c r="BM70" s="227">
        <f t="shared" si="318"/>
        <v>31.73</v>
      </c>
      <c r="BN70" s="227">
        <f t="shared" si="319"/>
        <v>24.588108792630877</v>
      </c>
      <c r="BO70" s="227">
        <f t="shared" si="320"/>
        <v>22.97927745163749</v>
      </c>
      <c r="BP70" s="227">
        <f t="shared" si="321"/>
        <v>24.588108792630877</v>
      </c>
      <c r="BQ70" s="227">
        <f t="shared" si="322"/>
        <v>15.17</v>
      </c>
      <c r="BR70" s="227">
        <f t="shared" si="323"/>
        <v>18.54414487036896</v>
      </c>
      <c r="BS70" s="227">
        <f t="shared" si="324"/>
        <v>19.95</v>
      </c>
      <c r="BT70" s="227">
        <f t="shared" si="237"/>
        <v>22.507091415324027</v>
      </c>
      <c r="BU70" s="227">
        <f t="shared" si="238"/>
        <v>5.323264057023704</v>
      </c>
      <c r="BV70" s="227">
        <f t="shared" si="325"/>
        <v>23.65149702728511</v>
      </c>
      <c r="BX70" s="231">
        <f t="shared" si="326"/>
        <v>0.33262058868088074</v>
      </c>
      <c r="BY70" s="231">
        <f t="shared" si="327"/>
        <v>0.30593315990914188</v>
      </c>
      <c r="BZ70" s="231">
        <f t="shared" si="328"/>
        <v>0.32758614274494735</v>
      </c>
      <c r="CA70" s="231">
        <f t="shared" si="329"/>
        <v>0.24</v>
      </c>
      <c r="CB70" s="231">
        <f t="shared" si="330"/>
        <v>0.3748929019963787</v>
      </c>
      <c r="CC70" s="231">
        <f t="shared" si="331"/>
        <v>0.31494003765488204</v>
      </c>
      <c r="CD70" s="231">
        <f t="shared" si="332"/>
        <v>0.48</v>
      </c>
      <c r="CE70" s="231">
        <f t="shared" si="333"/>
        <v>0.44345420239785088</v>
      </c>
      <c r="CF70" s="231">
        <f t="shared" si="334"/>
        <v>0.35242837917301023</v>
      </c>
      <c r="CG70" s="231">
        <f t="shared" si="335"/>
        <v>7.7718981504281318E-2</v>
      </c>
      <c r="CH70" s="231">
        <f t="shared" si="239"/>
        <v>22.052418618118256</v>
      </c>
      <c r="CJ70" s="232">
        <f t="shared" si="336"/>
        <v>1.5082592548262543</v>
      </c>
      <c r="CK70" s="232">
        <f t="shared" si="337"/>
        <v>1.5082592548262543</v>
      </c>
      <c r="CL70" s="232">
        <f t="shared" si="338"/>
        <v>2.1</v>
      </c>
      <c r="CM70" s="232">
        <f t="shared" si="339"/>
        <v>1.8992951002778919</v>
      </c>
      <c r="CN70" s="232">
        <f t="shared" si="340"/>
        <v>1.8686445233168605</v>
      </c>
      <c r="CO70" s="232">
        <f t="shared" si="341"/>
        <v>1.551341814968018</v>
      </c>
      <c r="CP70" s="232">
        <f t="shared" si="342"/>
        <v>1.5092092933818606</v>
      </c>
      <c r="CQ70" s="232">
        <f t="shared" si="343"/>
        <v>1.9100918131861644</v>
      </c>
      <c r="CR70" s="232">
        <f t="shared" si="344"/>
        <v>4.0830716706387609</v>
      </c>
      <c r="CS70" s="232">
        <f t="shared" si="345"/>
        <v>1.41</v>
      </c>
      <c r="CT70" s="232">
        <f t="shared" si="346"/>
        <v>1.4024073682156011</v>
      </c>
      <c r="CU70" s="232">
        <f t="shared" si="347"/>
        <v>1.8864163721488787</v>
      </c>
      <c r="CV70" s="232">
        <f t="shared" si="348"/>
        <v>0.76640444405500086</v>
      </c>
      <c r="CW70" s="232">
        <f t="shared" si="240"/>
        <v>40.627533527074114</v>
      </c>
      <c r="CY70" s="229">
        <f t="shared" si="241"/>
        <v>1.19</v>
      </c>
      <c r="CZ70" s="229">
        <f t="shared" si="242"/>
        <v>0.8028801816841733</v>
      </c>
      <c r="DA70" s="229">
        <f t="shared" si="243"/>
        <v>0.51018358247923701</v>
      </c>
      <c r="DB70" s="229">
        <f t="shared" si="244"/>
        <v>1.2136601399304681</v>
      </c>
      <c r="DC70" s="229">
        <f t="shared" si="245"/>
        <v>0.57999999999999996</v>
      </c>
      <c r="DD70" s="229">
        <f t="shared" si="246"/>
        <v>0.57048905577787079</v>
      </c>
      <c r="DE70" s="229">
        <f t="shared" si="247"/>
        <v>0.8</v>
      </c>
      <c r="DF70" s="229">
        <f t="shared" si="248"/>
        <v>0.80960185141024976</v>
      </c>
      <c r="DG70" s="229">
        <f t="shared" si="249"/>
        <v>0.29087410430820398</v>
      </c>
      <c r="DH70" s="229">
        <f t="shared" si="250"/>
        <v>35.928043371137164</v>
      </c>
      <c r="DJ70" s="234">
        <f t="shared" si="349"/>
        <v>0.12061768607874983</v>
      </c>
      <c r="DK70" s="234">
        <f t="shared" si="350"/>
        <v>0.16299687307939167</v>
      </c>
      <c r="DL70" s="234">
        <f t="shared" si="351"/>
        <v>0.11541788508465115</v>
      </c>
      <c r="DM70" s="234">
        <f t="shared" si="251"/>
        <v>0.13301081474759754</v>
      </c>
      <c r="DN70" s="234">
        <f t="shared" si="252"/>
        <v>2.6098510557173306E-2</v>
      </c>
      <c r="DO70" s="234">
        <f t="shared" si="253"/>
        <v>19.621344780646645</v>
      </c>
      <c r="DQ70" s="229">
        <f t="shared" si="352"/>
        <v>3.49</v>
      </c>
      <c r="DR70" s="229">
        <f t="shared" si="353"/>
        <v>3.8457019033770741</v>
      </c>
      <c r="DS70" s="229">
        <f t="shared" si="354"/>
        <v>3.0119408626320965</v>
      </c>
      <c r="DT70" s="229">
        <f t="shared" si="355"/>
        <v>2.7060754523184705</v>
      </c>
      <c r="DU70" s="229">
        <f t="shared" si="356"/>
        <v>3.8457019033770741</v>
      </c>
      <c r="DV70" s="229">
        <f t="shared" si="357"/>
        <v>1.97</v>
      </c>
      <c r="DW70" s="229">
        <f t="shared" si="358"/>
        <v>2.5278</v>
      </c>
      <c r="DX70" s="229">
        <f t="shared" si="359"/>
        <v>3.5018958006666216</v>
      </c>
      <c r="DY70" s="229">
        <f t="shared" si="254"/>
        <v>3.1123894902964166</v>
      </c>
      <c r="DZ70" s="229">
        <f t="shared" si="255"/>
        <v>0.6752543115825228</v>
      </c>
      <c r="EA70" s="229">
        <f t="shared" si="256"/>
        <v>21.695687949332239</v>
      </c>
      <c r="EC70" s="235">
        <f t="shared" si="360"/>
        <v>0.21727920897148043</v>
      </c>
      <c r="ED70" s="235">
        <f t="shared" si="361"/>
        <v>0.15</v>
      </c>
      <c r="EE70" s="235">
        <f t="shared" si="362"/>
        <v>0.17929656038733083</v>
      </c>
      <c r="EF70" s="235">
        <f t="shared" si="363"/>
        <v>0.14515283499007986</v>
      </c>
      <c r="EG70" s="235">
        <f t="shared" si="364"/>
        <v>0.17293215108722276</v>
      </c>
      <c r="EH70" s="235">
        <f t="shared" si="365"/>
        <v>3.3190064803799373E-2</v>
      </c>
      <c r="EI70" s="235">
        <f t="shared" si="257"/>
        <v>19.192535682424438</v>
      </c>
      <c r="EK70" s="236">
        <f t="shared" si="366"/>
        <v>20.705381659388649</v>
      </c>
      <c r="EL70" s="236">
        <f t="shared" si="367"/>
        <v>33.412704577185984</v>
      </c>
      <c r="EM70" s="236">
        <f t="shared" si="368"/>
        <v>34.129422448606732</v>
      </c>
      <c r="EN70" s="236">
        <f t="shared" si="369"/>
        <v>14.4</v>
      </c>
      <c r="EO70" s="236">
        <f t="shared" si="370"/>
        <v>32.74736077885207</v>
      </c>
      <c r="EP70" s="236">
        <f t="shared" si="371"/>
        <v>34.129422448606732</v>
      </c>
      <c r="EQ70" s="236">
        <f t="shared" si="372"/>
        <v>34.388692613579238</v>
      </c>
      <c r="ER70" s="236">
        <f t="shared" si="373"/>
        <v>29.130426360888489</v>
      </c>
      <c r="ES70" s="236">
        <f t="shared" si="374"/>
        <v>8.134456015982094</v>
      </c>
      <c r="ET70" s="236">
        <f t="shared" si="258"/>
        <v>27.924260068172892</v>
      </c>
      <c r="EV70" s="238">
        <f t="shared" si="375"/>
        <v>1.6299687307939167E-2</v>
      </c>
      <c r="EW70" s="238">
        <f t="shared" si="376"/>
        <v>1.6299687307939167E-2</v>
      </c>
      <c r="EX70" s="238" t="e">
        <f t="shared" si="377"/>
        <v>#DIV/0!</v>
      </c>
      <c r="EY70" s="238" t="e">
        <f t="shared" si="259"/>
        <v>#DIV/0!</v>
      </c>
      <c r="FA70" s="240">
        <f t="shared" si="378"/>
        <v>0.50529030654611418</v>
      </c>
      <c r="FB70" s="240">
        <f t="shared" si="379"/>
        <v>0.67888197637566627</v>
      </c>
      <c r="FC70" s="240">
        <f t="shared" si="380"/>
        <v>0.59208614146089023</v>
      </c>
      <c r="FD70" s="240">
        <f t="shared" si="381"/>
        <v>0.12274784689397231</v>
      </c>
      <c r="FE70" s="240">
        <f t="shared" si="260"/>
        <v>20.731416984547057</v>
      </c>
      <c r="FG70" s="236">
        <f t="shared" si="382"/>
        <v>1.2</v>
      </c>
      <c r="FH70" s="236">
        <f t="shared" si="383"/>
        <v>1.3760235736710489</v>
      </c>
      <c r="FI70" s="236">
        <f t="shared" si="384"/>
        <v>1.3447242029049813</v>
      </c>
      <c r="FJ70" s="236">
        <f t="shared" si="385"/>
        <v>0.92</v>
      </c>
      <c r="FK70" s="236">
        <f t="shared" si="386"/>
        <v>1.3039749846351334</v>
      </c>
      <c r="FL70" s="236">
        <f t="shared" si="387"/>
        <v>0.9</v>
      </c>
      <c r="FM70" s="236">
        <f t="shared" si="388"/>
        <v>1.1741204602018607</v>
      </c>
      <c r="FN70" s="236">
        <f t="shared" si="389"/>
        <v>0.21312986057486463</v>
      </c>
      <c r="FO70" s="236">
        <f t="shared" si="261"/>
        <v>18.152299342285737</v>
      </c>
      <c r="FQ70" s="227">
        <f t="shared" si="390"/>
        <v>0.32</v>
      </c>
      <c r="FR70" s="227">
        <f t="shared" si="391"/>
        <v>0.34504104838053984</v>
      </c>
      <c r="FS70" s="227">
        <f t="shared" si="392"/>
        <v>0.34504104838053984</v>
      </c>
      <c r="FT70" s="227">
        <f t="shared" si="393"/>
        <v>0.24</v>
      </c>
      <c r="FU70" s="227">
        <f t="shared" si="394"/>
        <v>0.33960398506091249</v>
      </c>
      <c r="FV70" s="227">
        <f t="shared" si="262"/>
        <v>0.31793721636439842</v>
      </c>
      <c r="FW70" s="227">
        <f t="shared" si="263"/>
        <v>4.4769266960228933E-2</v>
      </c>
      <c r="FX70" s="227">
        <f t="shared" si="264"/>
        <v>14.081165920795314</v>
      </c>
      <c r="FZ70" s="230">
        <f t="shared" si="395"/>
        <v>1.7114671673336126</v>
      </c>
      <c r="GA70" s="230">
        <f t="shared" si="396"/>
        <v>2.4700000000000002</v>
      </c>
      <c r="GB70" s="230">
        <f t="shared" si="397"/>
        <v>3.6671082215442095</v>
      </c>
      <c r="GC70" s="230">
        <f t="shared" si="398"/>
        <v>2.6161917962926076</v>
      </c>
      <c r="GD70" s="230">
        <f t="shared" si="399"/>
        <v>0.98598276567388654</v>
      </c>
      <c r="GE70" s="230">
        <f t="shared" si="265"/>
        <v>37.687709558263954</v>
      </c>
      <c r="GG70" s="231">
        <f t="shared" si="400"/>
        <v>0.11409781115557416</v>
      </c>
      <c r="GH70" s="231">
        <f t="shared" si="401"/>
        <v>0.05</v>
      </c>
      <c r="GI70" s="231">
        <f t="shared" si="402"/>
        <v>0.05</v>
      </c>
      <c r="GJ70" s="231">
        <f t="shared" si="403"/>
        <v>0.12648557350960793</v>
      </c>
      <c r="GK70" s="245">
        <f t="shared" si="404"/>
        <v>7.5495191169869316E-2</v>
      </c>
      <c r="GL70" s="231">
        <f t="shared" si="405"/>
        <v>4.4158966454895032E-2</v>
      </c>
      <c r="GM70" s="231">
        <f t="shared" si="266"/>
        <v>58.492422855827144</v>
      </c>
      <c r="GO70" s="246">
        <f t="shared" si="406"/>
        <v>0.18</v>
      </c>
      <c r="GP70" s="246">
        <f t="shared" si="407"/>
        <v>0.18744640404130042</v>
      </c>
      <c r="GQ70" s="247">
        <f t="shared" ref="GQ70:GQ84" si="416">AVERAGE(GN70:GP70)</f>
        <v>0.18372320202065021</v>
      </c>
      <c r="GR70" s="246">
        <f t="shared" ref="GR70:GR76" si="417">STDEV(GN70:GP70)</f>
        <v>5.2654027930584425E-3</v>
      </c>
      <c r="GS70" s="246">
        <f t="shared" si="267"/>
        <v>2.8659432968442493</v>
      </c>
      <c r="GU70" s="249">
        <f t="shared" si="408"/>
        <v>2.3088507071695828E-2</v>
      </c>
      <c r="GV70" s="249">
        <f t="shared" si="409"/>
        <v>2.3088507071695828E-2</v>
      </c>
      <c r="GW70" s="249" t="e">
        <f t="shared" si="410"/>
        <v>#DIV/0!</v>
      </c>
      <c r="GX70" s="249" t="e">
        <f t="shared" si="268"/>
        <v>#DIV/0!</v>
      </c>
      <c r="GZ70" s="240">
        <f t="shared" si="411"/>
        <v>2.4449530961908751E-2</v>
      </c>
      <c r="HA70" s="240">
        <f t="shared" si="412"/>
        <v>2.4449530961908751E-2</v>
      </c>
      <c r="HB70" s="240" t="e">
        <f t="shared" si="413"/>
        <v>#DIV/0!</v>
      </c>
      <c r="HC70" s="240" t="e">
        <f t="shared" si="269"/>
        <v>#DIV/0!</v>
      </c>
      <c r="HE70" s="234">
        <f t="shared" si="414"/>
        <v>9.6552939482238018E-2</v>
      </c>
      <c r="HF70" s="234">
        <f t="shared" si="415"/>
        <v>9.6552939482238018E-2</v>
      </c>
      <c r="HG70" s="251">
        <f t="shared" ref="HG70:HG84" si="418">AVERAGE(HD70:HF70)</f>
        <v>9.6552939482238018E-2</v>
      </c>
      <c r="HH70" s="234">
        <f t="shared" ref="HH70:HH76" si="419">STDEV(HD70:HF70)</f>
        <v>0</v>
      </c>
      <c r="HI70" s="234">
        <f t="shared" si="270"/>
        <v>0</v>
      </c>
    </row>
    <row r="71" spans="2:217" ht="15.6" x14ac:dyDescent="0.25">
      <c r="B71">
        <v>67</v>
      </c>
      <c r="C71" s="124">
        <f t="shared" si="271"/>
        <v>81.607563926605508</v>
      </c>
      <c r="D71" s="124">
        <f t="shared" si="272"/>
        <v>170.93575709737433</v>
      </c>
      <c r="E71" s="29">
        <f t="shared" si="273"/>
        <v>2.1646893726813556</v>
      </c>
      <c r="F71" s="29">
        <f t="shared" si="274"/>
        <v>1.9854754323480752</v>
      </c>
      <c r="G71" s="29">
        <f t="shared" si="232"/>
        <v>1.9393474187301047</v>
      </c>
      <c r="H71" s="29">
        <f t="shared" si="275"/>
        <v>1.9846305491853742</v>
      </c>
      <c r="I71" s="29">
        <f t="shared" si="276"/>
        <v>2.0104132339734515</v>
      </c>
      <c r="J71" s="29">
        <f t="shared" si="277"/>
        <v>1.9846305491853742</v>
      </c>
      <c r="K71" s="29">
        <f t="shared" si="278"/>
        <v>1.968477325008871</v>
      </c>
      <c r="L71" s="125">
        <f t="shared" si="233"/>
        <v>2.0053805544446583</v>
      </c>
      <c r="M71" s="126">
        <f t="shared" si="234"/>
        <v>7.3466761314783399E-2</v>
      </c>
      <c r="N71" s="126">
        <f t="shared" si="279"/>
        <v>3.6634822827993485</v>
      </c>
      <c r="P71" s="138">
        <f t="shared" si="280"/>
        <v>421.12991643337824</v>
      </c>
      <c r="Q71" s="138">
        <f t="shared" si="281"/>
        <v>325.79239999999999</v>
      </c>
      <c r="R71" s="138">
        <f t="shared" si="282"/>
        <v>421.12991643337824</v>
      </c>
      <c r="S71" s="138">
        <f t="shared" si="283"/>
        <v>359.27480316521036</v>
      </c>
      <c r="T71" s="138">
        <f t="shared" si="284"/>
        <v>469.34922058416316</v>
      </c>
      <c r="U71" s="138">
        <f t="shared" si="285"/>
        <v>421.12991643337824</v>
      </c>
      <c r="V71" s="138">
        <f t="shared" si="286"/>
        <v>255.23381999999995</v>
      </c>
      <c r="W71" s="138">
        <f t="shared" si="287"/>
        <v>381.86285614992977</v>
      </c>
      <c r="X71" s="138">
        <f t="shared" si="288"/>
        <v>72.993834235723227</v>
      </c>
      <c r="Y71" s="138">
        <f t="shared" si="289"/>
        <v>19.115196217739456</v>
      </c>
      <c r="AA71" s="227">
        <f t="shared" si="228"/>
        <v>0.43916264045000003</v>
      </c>
      <c r="AB71" s="227">
        <f t="shared" si="229"/>
        <v>0.40986702127659574</v>
      </c>
      <c r="AC71" s="227">
        <f t="shared" si="230"/>
        <v>0.47</v>
      </c>
      <c r="AD71" s="227">
        <f t="shared" si="231"/>
        <v>0.43916264045000003</v>
      </c>
      <c r="AE71" s="227">
        <f t="shared" si="290"/>
        <v>0.43954807554414893</v>
      </c>
      <c r="AF71" s="227">
        <f t="shared" si="291"/>
        <v>2.4553219788328504E-2</v>
      </c>
      <c r="AG71" s="227">
        <f t="shared" si="292"/>
        <v>5.5860146260297618</v>
      </c>
      <c r="AI71" s="228">
        <f t="shared" si="293"/>
        <v>4.4876003481511759</v>
      </c>
      <c r="AJ71" s="228">
        <f t="shared" si="294"/>
        <v>4.4876003481511759</v>
      </c>
      <c r="AK71" s="228">
        <f t="shared" si="295"/>
        <v>4.4876003481511759</v>
      </c>
      <c r="AL71" s="228">
        <f t="shared" si="296"/>
        <v>7.3178679115872027</v>
      </c>
      <c r="AM71" s="228">
        <f t="shared" si="297"/>
        <v>4.28</v>
      </c>
      <c r="AN71" s="228">
        <f t="shared" si="298"/>
        <v>5.3044916552293584</v>
      </c>
      <c r="AO71" s="228">
        <f t="shared" si="299"/>
        <v>4.5984078064365956</v>
      </c>
      <c r="AP71" s="228">
        <f t="shared" si="300"/>
        <v>4.9947954882438124</v>
      </c>
      <c r="AQ71" s="228">
        <f t="shared" si="301"/>
        <v>1.0748933059182366</v>
      </c>
      <c r="AR71" s="228">
        <f t="shared" si="302"/>
        <v>21.520266614483006</v>
      </c>
      <c r="AT71" s="229">
        <f t="shared" si="303"/>
        <v>1.4242340893703453</v>
      </c>
      <c r="AU71" s="229">
        <f t="shared" si="304"/>
        <v>1.47</v>
      </c>
      <c r="AV71" s="229">
        <f t="shared" si="305"/>
        <v>1.2996123573240428</v>
      </c>
      <c r="AW71" s="229">
        <f t="shared" si="306"/>
        <v>1.4242340893703453</v>
      </c>
      <c r="AX71" s="229">
        <f t="shared" si="307"/>
        <v>1.2349514147936376</v>
      </c>
      <c r="AY71" s="229">
        <f t="shared" si="308"/>
        <v>1.3</v>
      </c>
      <c r="AZ71" s="229">
        <f t="shared" si="309"/>
        <v>1.3</v>
      </c>
      <c r="BA71" s="229">
        <f t="shared" si="310"/>
        <v>1.1980063589036525</v>
      </c>
      <c r="BB71" s="229">
        <f t="shared" si="311"/>
        <v>1.331379788720253</v>
      </c>
      <c r="BC71" s="229">
        <f t="shared" si="312"/>
        <v>9.7486160432150096E-2</v>
      </c>
      <c r="BD71" s="229">
        <f t="shared" si="313"/>
        <v>7.3221902013290752</v>
      </c>
      <c r="BF71" s="230">
        <f t="shared" si="314"/>
        <v>11.73</v>
      </c>
      <c r="BG71" s="230">
        <f t="shared" si="315"/>
        <v>6.27</v>
      </c>
      <c r="BH71" s="230">
        <f t="shared" si="316"/>
        <v>5.4601846153846152</v>
      </c>
      <c r="BI71" s="230">
        <f t="shared" si="235"/>
        <v>7.8200615384615384</v>
      </c>
      <c r="BJ71" s="230">
        <f t="shared" si="236"/>
        <v>3.4102293645813981</v>
      </c>
      <c r="BK71" s="230">
        <f t="shared" si="317"/>
        <v>43.608727985180302</v>
      </c>
      <c r="BM71" s="227">
        <f t="shared" si="318"/>
        <v>31.73</v>
      </c>
      <c r="BN71" s="227">
        <f t="shared" si="319"/>
        <v>24.542456554511986</v>
      </c>
      <c r="BO71" s="227">
        <f t="shared" si="320"/>
        <v>22.988926652872518</v>
      </c>
      <c r="BP71" s="227">
        <f t="shared" si="321"/>
        <v>24.542456554511986</v>
      </c>
      <c r="BQ71" s="227">
        <f t="shared" si="322"/>
        <v>15.17</v>
      </c>
      <c r="BR71" s="227">
        <f t="shared" si="323"/>
        <v>18.314734328824809</v>
      </c>
      <c r="BS71" s="227">
        <f t="shared" si="324"/>
        <v>19.95</v>
      </c>
      <c r="BT71" s="227">
        <f t="shared" si="237"/>
        <v>22.462653441531614</v>
      </c>
      <c r="BU71" s="227">
        <f t="shared" si="238"/>
        <v>5.346545492283445</v>
      </c>
      <c r="BV71" s="227">
        <f t="shared" si="325"/>
        <v>23.80193197655856</v>
      </c>
      <c r="BX71" s="231">
        <f t="shared" si="326"/>
        <v>0.33161992566366516</v>
      </c>
      <c r="BY71" s="231">
        <f t="shared" si="327"/>
        <v>0.30592066072827523</v>
      </c>
      <c r="BZ71" s="231">
        <f t="shared" si="328"/>
        <v>0.32791270105014858</v>
      </c>
      <c r="CA71" s="231">
        <f t="shared" si="329"/>
        <v>0.24</v>
      </c>
      <c r="CB71" s="231">
        <f t="shared" si="330"/>
        <v>0.37539486945544476</v>
      </c>
      <c r="CC71" s="231">
        <f t="shared" si="331"/>
        <v>0.3139196334163516</v>
      </c>
      <c r="CD71" s="231">
        <f t="shared" si="332"/>
        <v>0.48</v>
      </c>
      <c r="CE71" s="231">
        <f t="shared" si="333"/>
        <v>0.44069947834113887</v>
      </c>
      <c r="CF71" s="231">
        <f t="shared" si="334"/>
        <v>0.35193340858187805</v>
      </c>
      <c r="CG71" s="231">
        <f t="shared" si="335"/>
        <v>7.7378335032681406E-2</v>
      </c>
      <c r="CH71" s="231">
        <f t="shared" si="239"/>
        <v>21.986640979746362</v>
      </c>
      <c r="CJ71" s="232">
        <f t="shared" si="336"/>
        <v>1.5059530806683947</v>
      </c>
      <c r="CK71" s="232">
        <f t="shared" si="337"/>
        <v>1.5059530806683947</v>
      </c>
      <c r="CL71" s="232">
        <f t="shared" si="338"/>
        <v>2.1</v>
      </c>
      <c r="CM71" s="232">
        <f t="shared" si="339"/>
        <v>1.9017944013732491</v>
      </c>
      <c r="CN71" s="232">
        <f t="shared" si="340"/>
        <v>1.86839911150178</v>
      </c>
      <c r="CO71" s="232">
        <f t="shared" si="341"/>
        <v>1.5529618434212165</v>
      </c>
      <c r="CP71" s="232">
        <f t="shared" si="342"/>
        <v>1.5069016665862276</v>
      </c>
      <c r="CQ71" s="232">
        <f t="shared" si="343"/>
        <v>1.9125084388887963</v>
      </c>
      <c r="CR71" s="232">
        <f t="shared" si="344"/>
        <v>4.0885389527229359</v>
      </c>
      <c r="CS71" s="232">
        <f t="shared" si="345"/>
        <v>1.41</v>
      </c>
      <c r="CT71" s="232">
        <f t="shared" si="346"/>
        <v>1.3987323577433628</v>
      </c>
      <c r="CU71" s="232">
        <f t="shared" si="347"/>
        <v>1.8865220848703963</v>
      </c>
      <c r="CV71" s="232">
        <f t="shared" si="348"/>
        <v>0.76848811498928338</v>
      </c>
      <c r="CW71" s="232">
        <f t="shared" si="240"/>
        <v>40.735707318373557</v>
      </c>
      <c r="CY71" s="229">
        <f t="shared" si="241"/>
        <v>1.19</v>
      </c>
      <c r="CZ71" s="229">
        <f t="shared" si="242"/>
        <v>0.80609828117585258</v>
      </c>
      <c r="DA71" s="229">
        <f t="shared" si="243"/>
        <v>0.50732778881333496</v>
      </c>
      <c r="DB71" s="229">
        <f t="shared" si="244"/>
        <v>1.2148800397382697</v>
      </c>
      <c r="DC71" s="229">
        <f t="shared" si="245"/>
        <v>0.57999999999999996</v>
      </c>
      <c r="DD71" s="229">
        <f t="shared" si="246"/>
        <v>0.57125294748623856</v>
      </c>
      <c r="DE71" s="229">
        <f t="shared" si="247"/>
        <v>0.8</v>
      </c>
      <c r="DF71" s="229">
        <f t="shared" si="248"/>
        <v>0.8099370081733851</v>
      </c>
      <c r="DG71" s="229">
        <f t="shared" si="249"/>
        <v>0.29153435038347514</v>
      </c>
      <c r="DH71" s="229">
        <f t="shared" si="250"/>
        <v>35.994694333200009</v>
      </c>
      <c r="DJ71" s="234">
        <f t="shared" si="349"/>
        <v>0.12077919461137615</v>
      </c>
      <c r="DK71" s="234">
        <f t="shared" si="350"/>
        <v>0.16321512785321102</v>
      </c>
      <c r="DL71" s="234">
        <f t="shared" si="351"/>
        <v>0.11503264433278862</v>
      </c>
      <c r="DM71" s="234">
        <f t="shared" si="251"/>
        <v>0.1330089889324586</v>
      </c>
      <c r="DN71" s="234">
        <f t="shared" si="252"/>
        <v>2.6316607520744842E-2</v>
      </c>
      <c r="DO71" s="234">
        <f t="shared" si="253"/>
        <v>19.78558572015633</v>
      </c>
      <c r="DQ71" s="229">
        <f t="shared" si="352"/>
        <v>3.49</v>
      </c>
      <c r="DR71" s="229">
        <f t="shared" si="353"/>
        <v>3.840750314154207</v>
      </c>
      <c r="DS71" s="229">
        <f t="shared" si="354"/>
        <v>3.0080708316669873</v>
      </c>
      <c r="DT71" s="229">
        <f t="shared" si="355"/>
        <v>2.7089990915216036</v>
      </c>
      <c r="DU71" s="229">
        <f t="shared" si="356"/>
        <v>3.840750314154207</v>
      </c>
      <c r="DV71" s="229">
        <f t="shared" si="357"/>
        <v>1.97</v>
      </c>
      <c r="DW71" s="229">
        <f t="shared" si="358"/>
        <v>2.5661</v>
      </c>
      <c r="DX71" s="229">
        <f t="shared" si="359"/>
        <v>3.4871097642463957</v>
      </c>
      <c r="DY71" s="229">
        <f t="shared" si="254"/>
        <v>3.1139725394679245</v>
      </c>
      <c r="DZ71" s="229">
        <f t="shared" si="255"/>
        <v>0.66773562593096369</v>
      </c>
      <c r="EA71" s="229">
        <f t="shared" si="256"/>
        <v>21.443208553311706</v>
      </c>
      <c r="EC71" s="235">
        <f t="shared" si="360"/>
        <v>0.21752054414151423</v>
      </c>
      <c r="ED71" s="235">
        <f t="shared" si="361"/>
        <v>0.15</v>
      </c>
      <c r="EE71" s="235">
        <f t="shared" si="362"/>
        <v>0.17953664063853214</v>
      </c>
      <c r="EF71" s="235">
        <f t="shared" si="363"/>
        <v>0.14470143809392214</v>
      </c>
      <c r="EG71" s="235">
        <f t="shared" si="364"/>
        <v>0.17293965571849212</v>
      </c>
      <c r="EH71" s="235">
        <f t="shared" si="365"/>
        <v>3.3439500403548338E-2</v>
      </c>
      <c r="EI71" s="235">
        <f t="shared" si="257"/>
        <v>19.335935569329756</v>
      </c>
      <c r="EK71" s="236">
        <f t="shared" si="366"/>
        <v>20.705381659388649</v>
      </c>
      <c r="EL71" s="236">
        <f t="shared" si="367"/>
        <v>33.685091820747324</v>
      </c>
      <c r="EM71" s="236">
        <f t="shared" si="368"/>
        <v>34.407652523745995</v>
      </c>
      <c r="EN71" s="236">
        <f t="shared" si="369"/>
        <v>14.4</v>
      </c>
      <c r="EO71" s="236">
        <f t="shared" si="370"/>
        <v>32.8984706561682</v>
      </c>
      <c r="EP71" s="236">
        <f t="shared" si="371"/>
        <v>34.407652523745995</v>
      </c>
      <c r="EQ71" s="236">
        <f t="shared" si="372"/>
        <v>34.48202387650467</v>
      </c>
      <c r="ER71" s="236">
        <f t="shared" si="373"/>
        <v>29.283753294328694</v>
      </c>
      <c r="ES71" s="236">
        <f t="shared" si="374"/>
        <v>8.2369415656507154</v>
      </c>
      <c r="ET71" s="236">
        <f t="shared" si="258"/>
        <v>28.128025403239356</v>
      </c>
      <c r="EV71" s="238">
        <f t="shared" si="375"/>
        <v>1.6321512785321103E-2</v>
      </c>
      <c r="EW71" s="238">
        <f t="shared" si="376"/>
        <v>1.6321512785321103E-2</v>
      </c>
      <c r="EX71" s="238" t="e">
        <f t="shared" si="377"/>
        <v>#DIV/0!</v>
      </c>
      <c r="EY71" s="238" t="e">
        <f t="shared" si="259"/>
        <v>#DIV/0!</v>
      </c>
      <c r="FA71" s="240">
        <f t="shared" si="378"/>
        <v>0.50596689634495418</v>
      </c>
      <c r="FB71" s="240">
        <f t="shared" si="379"/>
        <v>0.67979100750862398</v>
      </c>
      <c r="FC71" s="240">
        <f t="shared" si="380"/>
        <v>0.59287895192678908</v>
      </c>
      <c r="FD71" s="240">
        <f t="shared" si="381"/>
        <v>0.12291220773755522</v>
      </c>
      <c r="FE71" s="240">
        <f t="shared" si="260"/>
        <v>20.731416984547106</v>
      </c>
      <c r="FG71" s="236">
        <f t="shared" si="382"/>
        <v>1.2</v>
      </c>
      <c r="FH71" s="236">
        <f t="shared" si="383"/>
        <v>1.3741402147142439</v>
      </c>
      <c r="FI71" s="236">
        <f t="shared" si="384"/>
        <v>1.3465248047889908</v>
      </c>
      <c r="FJ71" s="236">
        <f t="shared" si="385"/>
        <v>0.92</v>
      </c>
      <c r="FK71" s="236">
        <f t="shared" si="386"/>
        <v>1.3057210228256881</v>
      </c>
      <c r="FL71" s="236">
        <f t="shared" si="387"/>
        <v>0.9</v>
      </c>
      <c r="FM71" s="236">
        <f t="shared" si="388"/>
        <v>1.1743976737214872</v>
      </c>
      <c r="FN71" s="236">
        <f t="shared" si="389"/>
        <v>0.21327840622119051</v>
      </c>
      <c r="FO71" s="236">
        <f t="shared" si="261"/>
        <v>18.160663205789891</v>
      </c>
      <c r="FQ71" s="227">
        <f t="shared" si="390"/>
        <v>0.32</v>
      </c>
      <c r="FR71" s="227">
        <f t="shared" si="391"/>
        <v>0.3439464159597283</v>
      </c>
      <c r="FS71" s="227">
        <f t="shared" si="392"/>
        <v>0.3439464159597283</v>
      </c>
      <c r="FT71" s="227">
        <f t="shared" si="393"/>
        <v>0.24</v>
      </c>
      <c r="FU71" s="227">
        <f t="shared" si="394"/>
        <v>0.3400587188821651</v>
      </c>
      <c r="FV71" s="227">
        <f t="shared" si="262"/>
        <v>0.31759031016032435</v>
      </c>
      <c r="FW71" s="227">
        <f t="shared" si="263"/>
        <v>4.4497698963567589E-2</v>
      </c>
      <c r="FX71" s="227">
        <f t="shared" si="264"/>
        <v>14.011037975656274</v>
      </c>
      <c r="FZ71" s="230">
        <f t="shared" si="395"/>
        <v>1.7137588424587158</v>
      </c>
      <c r="GA71" s="230">
        <f t="shared" si="396"/>
        <v>2.4700000000000002</v>
      </c>
      <c r="GB71" s="230">
        <f t="shared" si="397"/>
        <v>3.6720594495630925</v>
      </c>
      <c r="GC71" s="230">
        <f t="shared" si="398"/>
        <v>2.6186060973406029</v>
      </c>
      <c r="GD71" s="230">
        <f t="shared" si="399"/>
        <v>0.9875718434987123</v>
      </c>
      <c r="GE71" s="230">
        <f t="shared" si="265"/>
        <v>37.713646374751356</v>
      </c>
      <c r="GG71" s="231">
        <f t="shared" si="400"/>
        <v>0.11425058949724771</v>
      </c>
      <c r="GH71" s="231">
        <f t="shared" si="401"/>
        <v>0.05</v>
      </c>
      <c r="GI71" s="231">
        <f t="shared" si="402"/>
        <v>0.05</v>
      </c>
      <c r="GJ71" s="231">
        <f t="shared" si="403"/>
        <v>0.12665493921409174</v>
      </c>
      <c r="GK71" s="245">
        <f t="shared" si="404"/>
        <v>7.5551646404697248E-2</v>
      </c>
      <c r="GL71" s="231">
        <f t="shared" si="405"/>
        <v>4.4256749789970247E-2</v>
      </c>
      <c r="GM71" s="231">
        <f t="shared" si="266"/>
        <v>58.578140776583645</v>
      </c>
      <c r="GO71" s="246">
        <f t="shared" si="406"/>
        <v>0.18</v>
      </c>
      <c r="GP71" s="246">
        <f t="shared" si="407"/>
        <v>0.18769739703119268</v>
      </c>
      <c r="GQ71" s="247">
        <f t="shared" si="416"/>
        <v>0.18384869851559632</v>
      </c>
      <c r="GR71" s="246">
        <f t="shared" si="417"/>
        <v>5.4428816382415439E-3</v>
      </c>
      <c r="GS71" s="246">
        <f t="shared" si="267"/>
        <v>2.960522256718511</v>
      </c>
      <c r="GU71" s="249">
        <f t="shared" si="408"/>
        <v>2.311942286040734E-2</v>
      </c>
      <c r="GV71" s="249">
        <f t="shared" si="409"/>
        <v>2.311942286040734E-2</v>
      </c>
      <c r="GW71" s="249" t="e">
        <f t="shared" si="410"/>
        <v>#DIV/0!</v>
      </c>
      <c r="GX71" s="249" t="e">
        <f t="shared" si="268"/>
        <v>#DIV/0!</v>
      </c>
      <c r="GZ71" s="240">
        <f t="shared" si="411"/>
        <v>2.4482269177981655E-2</v>
      </c>
      <c r="HA71" s="240">
        <f t="shared" si="412"/>
        <v>2.4482269177981655E-2</v>
      </c>
      <c r="HB71" s="240" t="e">
        <f t="shared" si="413"/>
        <v>#DIV/0!</v>
      </c>
      <c r="HC71" s="240" t="e">
        <f t="shared" si="269"/>
        <v>#DIV/0!</v>
      </c>
      <c r="HE71" s="234">
        <f t="shared" si="414"/>
        <v>9.6682801072660543E-2</v>
      </c>
      <c r="HF71" s="234">
        <f t="shared" si="415"/>
        <v>9.6682801072660543E-2</v>
      </c>
      <c r="HG71" s="251">
        <f t="shared" si="418"/>
        <v>9.6682801072660543E-2</v>
      </c>
      <c r="HH71" s="234">
        <f t="shared" si="419"/>
        <v>0</v>
      </c>
      <c r="HI71" s="234">
        <f t="shared" si="270"/>
        <v>0</v>
      </c>
    </row>
    <row r="72" spans="2:217" ht="15.6" x14ac:dyDescent="0.25">
      <c r="B72">
        <v>68</v>
      </c>
      <c r="C72" s="124">
        <f t="shared" si="271"/>
        <v>81.671055119513767</v>
      </c>
      <c r="D72" s="124">
        <f t="shared" si="272"/>
        <v>170.21954513793935</v>
      </c>
      <c r="E72" s="29">
        <f t="shared" si="273"/>
        <v>2.1606738909879257</v>
      </c>
      <c r="F72" s="29">
        <f t="shared" si="274"/>
        <v>1.9827545061552228</v>
      </c>
      <c r="G72" s="29">
        <f t="shared" si="232"/>
        <v>1.9340919972969746</v>
      </c>
      <c r="H72" s="29">
        <f t="shared" si="275"/>
        <v>1.9819107808334546</v>
      </c>
      <c r="I72" s="29">
        <f t="shared" si="276"/>
        <v>2.007682798911341</v>
      </c>
      <c r="J72" s="29">
        <f t="shared" si="277"/>
        <v>1.9819107808334544</v>
      </c>
      <c r="K72" s="29">
        <f t="shared" si="278"/>
        <v>1.9651130765725533</v>
      </c>
      <c r="L72" s="125">
        <f t="shared" si="233"/>
        <v>2.0020196902272751</v>
      </c>
      <c r="M72" s="126">
        <f t="shared" si="234"/>
        <v>7.3438613377214926E-2</v>
      </c>
      <c r="N72" s="126">
        <f t="shared" si="279"/>
        <v>3.6682263284272674</v>
      </c>
      <c r="P72" s="138">
        <f t="shared" si="280"/>
        <v>420.42413494772779</v>
      </c>
      <c r="Q72" s="138">
        <f t="shared" si="281"/>
        <v>325.79239999999999</v>
      </c>
      <c r="R72" s="138">
        <f t="shared" si="282"/>
        <v>420.42413494772779</v>
      </c>
      <c r="S72" s="138">
        <f t="shared" si="283"/>
        <v>357.19401167741097</v>
      </c>
      <c r="T72" s="138">
        <f t="shared" si="284"/>
        <v>469.63456623180281</v>
      </c>
      <c r="U72" s="138">
        <f t="shared" si="285"/>
        <v>420.42413494772779</v>
      </c>
      <c r="V72" s="138">
        <f t="shared" si="286"/>
        <v>254.37311999999997</v>
      </c>
      <c r="W72" s="138">
        <f t="shared" si="287"/>
        <v>381.18092896462815</v>
      </c>
      <c r="X72" s="138">
        <f t="shared" si="288"/>
        <v>73.220688503441039</v>
      </c>
      <c r="Y72" s="138">
        <f t="shared" si="289"/>
        <v>19.208906568942115</v>
      </c>
      <c r="AA72" s="227">
        <f t="shared" si="228"/>
        <v>0.43946709279999996</v>
      </c>
      <c r="AB72" s="227">
        <f t="shared" si="229"/>
        <v>0.40996719160104983</v>
      </c>
      <c r="AC72" s="227">
        <f t="shared" si="230"/>
        <v>0.47</v>
      </c>
      <c r="AD72" s="227">
        <f t="shared" si="231"/>
        <v>0.43946709279999996</v>
      </c>
      <c r="AE72" s="227">
        <f t="shared" si="290"/>
        <v>0.43972534430026244</v>
      </c>
      <c r="AF72" s="227">
        <f t="shared" si="291"/>
        <v>2.4510105517806871E-2</v>
      </c>
      <c r="AG72" s="227">
        <f t="shared" si="292"/>
        <v>5.573957888829435</v>
      </c>
      <c r="AI72" s="228">
        <f t="shared" si="293"/>
        <v>4.4785152136099819</v>
      </c>
      <c r="AJ72" s="228">
        <f t="shared" si="294"/>
        <v>4.4785152136099819</v>
      </c>
      <c r="AK72" s="228">
        <f t="shared" si="295"/>
        <v>4.4785152136099819</v>
      </c>
      <c r="AL72" s="228">
        <f t="shared" si="296"/>
        <v>7.3235594440573228</v>
      </c>
      <c r="AM72" s="228">
        <f t="shared" si="297"/>
        <v>4.28</v>
      </c>
      <c r="AN72" s="228">
        <f t="shared" si="298"/>
        <v>5.3086185827683954</v>
      </c>
      <c r="AO72" s="228">
        <f t="shared" si="299"/>
        <v>4.589973939626935</v>
      </c>
      <c r="AP72" s="228">
        <f t="shared" si="300"/>
        <v>4.991099658183229</v>
      </c>
      <c r="AQ72" s="228">
        <f t="shared" si="301"/>
        <v>1.0798132496409223</v>
      </c>
      <c r="AR72" s="228">
        <f t="shared" si="302"/>
        <v>21.63477637378967</v>
      </c>
      <c r="AT72" s="229">
        <f t="shared" si="303"/>
        <v>1.4245349904078739</v>
      </c>
      <c r="AU72" s="229">
        <f t="shared" si="304"/>
        <v>1.47</v>
      </c>
      <c r="AV72" s="229">
        <f t="shared" si="305"/>
        <v>1.2944628013475752</v>
      </c>
      <c r="AW72" s="229">
        <f t="shared" si="306"/>
        <v>1.4245349904078739</v>
      </c>
      <c r="AX72" s="229">
        <f t="shared" si="307"/>
        <v>1.2527159583800942</v>
      </c>
      <c r="AY72" s="229">
        <f t="shared" si="308"/>
        <v>1.3</v>
      </c>
      <c r="AZ72" s="229">
        <f t="shared" si="309"/>
        <v>1.3</v>
      </c>
      <c r="BA72" s="229">
        <f t="shared" si="310"/>
        <v>1.1961032515060834</v>
      </c>
      <c r="BB72" s="229">
        <f t="shared" si="311"/>
        <v>1.3327939990061877</v>
      </c>
      <c r="BC72" s="229">
        <f t="shared" si="312"/>
        <v>9.5898258746052151E-2</v>
      </c>
      <c r="BD72" s="229">
        <f t="shared" si="313"/>
        <v>7.1952799020373535</v>
      </c>
      <c r="BF72" s="230">
        <f t="shared" si="314"/>
        <v>11.73</v>
      </c>
      <c r="BG72" s="230">
        <f t="shared" si="315"/>
        <v>6.27</v>
      </c>
      <c r="BH72" s="230">
        <f t="shared" si="316"/>
        <v>5.4429538461538458</v>
      </c>
      <c r="BI72" s="230">
        <f t="shared" si="235"/>
        <v>7.8143179487179486</v>
      </c>
      <c r="BJ72" s="230">
        <f t="shared" si="236"/>
        <v>3.4162004888760897</v>
      </c>
      <c r="BK72" s="230">
        <f t="shared" si="317"/>
        <v>43.717193378810066</v>
      </c>
      <c r="BM72" s="227">
        <f t="shared" si="318"/>
        <v>31.73</v>
      </c>
      <c r="BN72" s="227">
        <f t="shared" si="319"/>
        <v>24.483492791875491</v>
      </c>
      <c r="BO72" s="227">
        <f t="shared" si="320"/>
        <v>22.994528118185986</v>
      </c>
      <c r="BP72" s="227">
        <f t="shared" si="321"/>
        <v>24.483492791875491</v>
      </c>
      <c r="BQ72" s="227">
        <f t="shared" si="322"/>
        <v>15.17</v>
      </c>
      <c r="BR72" s="227">
        <f t="shared" si="323"/>
        <v>18.068521562767938</v>
      </c>
      <c r="BS72" s="227">
        <f t="shared" si="324"/>
        <v>19.95</v>
      </c>
      <c r="BT72" s="227">
        <f t="shared" si="237"/>
        <v>22.411433609243556</v>
      </c>
      <c r="BU72" s="227">
        <f t="shared" si="238"/>
        <v>5.3715366899856551</v>
      </c>
      <c r="BV72" s="227">
        <f t="shared" si="325"/>
        <v>23.967840628321852</v>
      </c>
      <c r="BX72" s="231">
        <f t="shared" si="326"/>
        <v>0.33046044377201433</v>
      </c>
      <c r="BY72" s="231">
        <f t="shared" si="327"/>
        <v>0.30574791005217256</v>
      </c>
      <c r="BZ72" s="231">
        <f t="shared" si="328"/>
        <v>0.32810285543350093</v>
      </c>
      <c r="CA72" s="231">
        <f t="shared" si="329"/>
        <v>0.24</v>
      </c>
      <c r="CB72" s="231">
        <f t="shared" si="330"/>
        <v>0.37568691404066235</v>
      </c>
      <c r="CC72" s="231">
        <f t="shared" si="331"/>
        <v>0.31274524830148298</v>
      </c>
      <c r="CD72" s="231">
        <f t="shared" si="332"/>
        <v>0.48</v>
      </c>
      <c r="CE72" s="231">
        <f t="shared" si="333"/>
        <v>0.43777111045649797</v>
      </c>
      <c r="CF72" s="231">
        <f t="shared" si="334"/>
        <v>0.35131431025704135</v>
      </c>
      <c r="CG72" s="231">
        <f t="shared" si="335"/>
        <v>7.7050270490585521E-2</v>
      </c>
      <c r="CH72" s="231">
        <f t="shared" si="239"/>
        <v>21.932004544366894</v>
      </c>
      <c r="CJ72" s="232">
        <f t="shared" si="336"/>
        <v>1.5029489426100375</v>
      </c>
      <c r="CK72" s="232">
        <f t="shared" si="337"/>
        <v>1.5029489426100375</v>
      </c>
      <c r="CL72" s="232">
        <f t="shared" si="338"/>
        <v>2.1</v>
      </c>
      <c r="CM72" s="232">
        <f t="shared" si="339"/>
        <v>1.9032351405994992</v>
      </c>
      <c r="CN72" s="232">
        <f t="shared" si="340"/>
        <v>1.8669970275316361</v>
      </c>
      <c r="CO72" s="232">
        <f t="shared" si="341"/>
        <v>1.5539041697028302</v>
      </c>
      <c r="CP72" s="232">
        <f t="shared" si="342"/>
        <v>1.503895636249091</v>
      </c>
      <c r="CQ72" s="232">
        <f t="shared" si="343"/>
        <v>1.9139137353928592</v>
      </c>
      <c r="CR72" s="232">
        <f t="shared" si="344"/>
        <v>4.0917198614876398</v>
      </c>
      <c r="CS72" s="232">
        <f t="shared" si="345"/>
        <v>1.41</v>
      </c>
      <c r="CT72" s="232">
        <f t="shared" si="346"/>
        <v>1.3945259534685375</v>
      </c>
      <c r="CU72" s="232">
        <f t="shared" si="347"/>
        <v>1.885826309968379</v>
      </c>
      <c r="CV72" s="232">
        <f t="shared" si="348"/>
        <v>0.77008463586904863</v>
      </c>
      <c r="CW72" s="232">
        <f t="shared" si="240"/>
        <v>40.835395698873306</v>
      </c>
      <c r="CY72" s="229">
        <f t="shared" si="241"/>
        <v>1.19</v>
      </c>
      <c r="CZ72" s="229">
        <f t="shared" si="242"/>
        <v>0.80881245158131099</v>
      </c>
      <c r="DA72" s="229">
        <f t="shared" si="243"/>
        <v>0.50428793803403149</v>
      </c>
      <c r="DB72" s="229">
        <f t="shared" si="244"/>
        <v>1.2155892886057293</v>
      </c>
      <c r="DC72" s="229">
        <f t="shared" si="245"/>
        <v>0.57999999999999996</v>
      </c>
      <c r="DD72" s="229">
        <f t="shared" si="246"/>
        <v>0.57169738583659635</v>
      </c>
      <c r="DE72" s="229">
        <f t="shared" si="247"/>
        <v>0.8</v>
      </c>
      <c r="DF72" s="229">
        <f t="shared" si="248"/>
        <v>0.81005529486538119</v>
      </c>
      <c r="DG72" s="229">
        <f t="shared" si="249"/>
        <v>0.29216207278634743</v>
      </c>
      <c r="DH72" s="229">
        <f t="shared" si="250"/>
        <v>36.06692958347989</v>
      </c>
      <c r="DJ72" s="234">
        <f t="shared" si="349"/>
        <v>0.12087316157688037</v>
      </c>
      <c r="DK72" s="234">
        <f t="shared" si="350"/>
        <v>0.16334211023902753</v>
      </c>
      <c r="DL72" s="234">
        <f t="shared" si="351"/>
        <v>0.114587610117854</v>
      </c>
      <c r="DM72" s="234">
        <f t="shared" si="251"/>
        <v>0.13293429397792064</v>
      </c>
      <c r="DN72" s="234">
        <f t="shared" si="252"/>
        <v>2.6520812706494239E-2</v>
      </c>
      <c r="DO72" s="234">
        <f t="shared" si="253"/>
        <v>19.950316741366333</v>
      </c>
      <c r="DQ72" s="229">
        <f t="shared" si="352"/>
        <v>3.49</v>
      </c>
      <c r="DR72" s="229">
        <f t="shared" si="353"/>
        <v>3.8343001466132334</v>
      </c>
      <c r="DS72" s="229">
        <f t="shared" si="354"/>
        <v>3.0030295353409122</v>
      </c>
      <c r="DT72" s="229">
        <f t="shared" si="355"/>
        <v>2.7107011104832366</v>
      </c>
      <c r="DU72" s="229">
        <f t="shared" si="356"/>
        <v>3.8343001466132334</v>
      </c>
      <c r="DV72" s="229">
        <f t="shared" si="357"/>
        <v>1.97</v>
      </c>
      <c r="DW72" s="229">
        <f t="shared" si="358"/>
        <v>2.6044</v>
      </c>
      <c r="DX72" s="229">
        <f t="shared" si="359"/>
        <v>3.4679423245021561</v>
      </c>
      <c r="DY72" s="229">
        <f t="shared" si="254"/>
        <v>3.1143341579440968</v>
      </c>
      <c r="DZ72" s="229">
        <f t="shared" si="255"/>
        <v>0.65983845171330824</v>
      </c>
      <c r="EA72" s="229">
        <f t="shared" si="256"/>
        <v>21.187143647709767</v>
      </c>
      <c r="EC72" s="235">
        <f t="shared" si="360"/>
        <v>0.21766089384193893</v>
      </c>
      <c r="ED72" s="235">
        <f t="shared" si="361"/>
        <v>0.15</v>
      </c>
      <c r="EE72" s="235">
        <f t="shared" si="362"/>
        <v>0.17967632126293029</v>
      </c>
      <c r="EF72" s="235">
        <f t="shared" si="363"/>
        <v>0.1441799795972957</v>
      </c>
      <c r="EG72" s="235">
        <f t="shared" si="364"/>
        <v>0.17287929867554122</v>
      </c>
      <c r="EH72" s="235">
        <f t="shared" si="365"/>
        <v>3.3658599719042566E-2</v>
      </c>
      <c r="EI72" s="235">
        <f t="shared" si="257"/>
        <v>19.469421716137809</v>
      </c>
      <c r="EK72" s="236">
        <f t="shared" si="366"/>
        <v>20.705381659388649</v>
      </c>
      <c r="EL72" s="236">
        <f t="shared" si="367"/>
        <v>33.937384803145925</v>
      </c>
      <c r="EM72" s="236">
        <f t="shared" si="368"/>
        <v>34.665357306584198</v>
      </c>
      <c r="EN72" s="236">
        <f t="shared" si="369"/>
        <v>14.4</v>
      </c>
      <c r="EO72" s="236">
        <f t="shared" si="370"/>
        <v>33.026551109763503</v>
      </c>
      <c r="EP72" s="236">
        <f t="shared" si="371"/>
        <v>34.665357306584198</v>
      </c>
      <c r="EQ72" s="236">
        <f t="shared" si="372"/>
        <v>34.536345545237424</v>
      </c>
      <c r="ER72" s="236">
        <f t="shared" si="373"/>
        <v>29.419482532957705</v>
      </c>
      <c r="ES72" s="236">
        <f t="shared" si="374"/>
        <v>8.3283000026104439</v>
      </c>
      <c r="ET72" s="236">
        <f t="shared" si="258"/>
        <v>28.308791608691674</v>
      </c>
      <c r="EV72" s="238">
        <f t="shared" si="375"/>
        <v>1.6334211023902753E-2</v>
      </c>
      <c r="EW72" s="238">
        <f t="shared" si="376"/>
        <v>1.6334211023902753E-2</v>
      </c>
      <c r="EX72" s="238" t="e">
        <f t="shared" si="377"/>
        <v>#DIV/0!</v>
      </c>
      <c r="EY72" s="238" t="e">
        <f t="shared" si="259"/>
        <v>#DIV/0!</v>
      </c>
      <c r="FA72" s="240">
        <f t="shared" si="378"/>
        <v>0.50636054174098533</v>
      </c>
      <c r="FB72" s="240">
        <f t="shared" si="379"/>
        <v>0.68031988914554975</v>
      </c>
      <c r="FC72" s="240">
        <f t="shared" si="380"/>
        <v>0.59334021544326754</v>
      </c>
      <c r="FD72" s="240">
        <f t="shared" si="381"/>
        <v>0.12300783420055404</v>
      </c>
      <c r="FE72" s="240">
        <f t="shared" si="260"/>
        <v>20.731416984547121</v>
      </c>
      <c r="FG72" s="236">
        <f t="shared" si="382"/>
        <v>1.2</v>
      </c>
      <c r="FH72" s="236">
        <f t="shared" si="383"/>
        <v>1.3715790059059532</v>
      </c>
      <c r="FI72" s="236">
        <f t="shared" si="384"/>
        <v>1.3475724094719772</v>
      </c>
      <c r="FJ72" s="236">
        <f t="shared" si="385"/>
        <v>0.92</v>
      </c>
      <c r="FK72" s="236">
        <f t="shared" si="386"/>
        <v>1.3067368819122203</v>
      </c>
      <c r="FL72" s="236">
        <f t="shared" si="387"/>
        <v>0.9</v>
      </c>
      <c r="FM72" s="236">
        <f t="shared" si="388"/>
        <v>1.1743147162150251</v>
      </c>
      <c r="FN72" s="236">
        <f t="shared" si="389"/>
        <v>0.21309684673720231</v>
      </c>
      <c r="FO72" s="236">
        <f t="shared" si="261"/>
        <v>18.146485247501811</v>
      </c>
      <c r="FQ72" s="227">
        <f t="shared" si="390"/>
        <v>0.32</v>
      </c>
      <c r="FR72" s="227">
        <f t="shared" si="391"/>
        <v>0.34267684271595511</v>
      </c>
      <c r="FS72" s="227">
        <f t="shared" si="392"/>
        <v>0.34267684271595511</v>
      </c>
      <c r="FT72" s="227">
        <f t="shared" si="393"/>
        <v>0.24</v>
      </c>
      <c r="FU72" s="227">
        <f t="shared" si="394"/>
        <v>0.34032328668301381</v>
      </c>
      <c r="FV72" s="227">
        <f t="shared" si="262"/>
        <v>0.31713539442298477</v>
      </c>
      <c r="FW72" s="227">
        <f t="shared" si="263"/>
        <v>4.4160175914416865E-2</v>
      </c>
      <c r="FX72" s="227">
        <f t="shared" si="264"/>
        <v>13.924707456499627</v>
      </c>
      <c r="FZ72" s="230">
        <f t="shared" si="395"/>
        <v>1.7150921575097893</v>
      </c>
      <c r="GA72" s="230">
        <f t="shared" si="396"/>
        <v>2.4700000000000002</v>
      </c>
      <c r="GB72" s="230">
        <f t="shared" si="397"/>
        <v>3.6749520844276495</v>
      </c>
      <c r="GC72" s="230">
        <f t="shared" si="398"/>
        <v>2.6200147473124797</v>
      </c>
      <c r="GD72" s="230">
        <f t="shared" si="399"/>
        <v>0.98850445198443204</v>
      </c>
      <c r="GE72" s="230">
        <f t="shared" si="265"/>
        <v>37.728965189925198</v>
      </c>
      <c r="GG72" s="231">
        <f t="shared" si="400"/>
        <v>0.11433947716731928</v>
      </c>
      <c r="GH72" s="231">
        <f t="shared" si="401"/>
        <v>0.05</v>
      </c>
      <c r="GI72" s="231">
        <f t="shared" si="402"/>
        <v>0.05</v>
      </c>
      <c r="GJ72" s="231">
        <f t="shared" si="403"/>
        <v>0.12675347754548535</v>
      </c>
      <c r="GK72" s="245">
        <f t="shared" si="404"/>
        <v>7.5584492515161791E-2</v>
      </c>
      <c r="GL72" s="231">
        <f t="shared" si="405"/>
        <v>4.4313640922125856E-2</v>
      </c>
      <c r="GM72" s="231">
        <f t="shared" si="266"/>
        <v>58.627953231592855</v>
      </c>
      <c r="GO72" s="246">
        <f t="shared" si="406"/>
        <v>0.18</v>
      </c>
      <c r="GP72" s="246">
        <f t="shared" si="407"/>
        <v>0.18784342677488167</v>
      </c>
      <c r="GQ72" s="247">
        <f t="shared" si="416"/>
        <v>0.18392171338744084</v>
      </c>
      <c r="GR72" s="246">
        <f t="shared" si="417"/>
        <v>5.5461402602589634E-3</v>
      </c>
      <c r="GS72" s="246">
        <f t="shared" si="267"/>
        <v>3.0154896657447536</v>
      </c>
      <c r="GU72" s="249">
        <f t="shared" si="408"/>
        <v>2.3137409915358249E-2</v>
      </c>
      <c r="GV72" s="249">
        <f t="shared" si="409"/>
        <v>2.3137409915358249E-2</v>
      </c>
      <c r="GW72" s="249" t="e">
        <f t="shared" si="410"/>
        <v>#DIV/0!</v>
      </c>
      <c r="GX72" s="249" t="e">
        <f t="shared" si="268"/>
        <v>#DIV/0!</v>
      </c>
      <c r="GZ72" s="240">
        <f t="shared" si="411"/>
        <v>2.4501316535854134E-2</v>
      </c>
      <c r="HA72" s="240">
        <f t="shared" si="412"/>
        <v>2.4501316535854134E-2</v>
      </c>
      <c r="HB72" s="240" t="e">
        <f t="shared" si="413"/>
        <v>#DIV/0!</v>
      </c>
      <c r="HC72" s="240" t="e">
        <f t="shared" si="269"/>
        <v>#DIV/0!</v>
      </c>
      <c r="HE72" s="234">
        <f t="shared" si="414"/>
        <v>9.675835559222136E-2</v>
      </c>
      <c r="HF72" s="234">
        <f t="shared" si="415"/>
        <v>9.675835559222136E-2</v>
      </c>
      <c r="HG72" s="251">
        <f t="shared" si="418"/>
        <v>9.675835559222136E-2</v>
      </c>
      <c r="HH72" s="234">
        <f t="shared" si="419"/>
        <v>0</v>
      </c>
      <c r="HI72" s="234">
        <f t="shared" si="270"/>
        <v>0</v>
      </c>
    </row>
    <row r="73" spans="2:217" ht="15.6" x14ac:dyDescent="0.25">
      <c r="B73">
        <v>69</v>
      </c>
      <c r="C73" s="124">
        <f t="shared" si="271"/>
        <v>81.662591027503368</v>
      </c>
      <c r="D73" s="124">
        <f t="shared" si="272"/>
        <v>169.48538973680525</v>
      </c>
      <c r="E73" s="29">
        <f t="shared" si="273"/>
        <v>2.155729161227065</v>
      </c>
      <c r="F73" s="29">
        <f t="shared" si="274"/>
        <v>1.9790355865573515</v>
      </c>
      <c r="G73" s="29">
        <f t="shared" si="232"/>
        <v>1.9279557319200131</v>
      </c>
      <c r="H73" s="29">
        <f t="shared" si="275"/>
        <v>1.978193443754561</v>
      </c>
      <c r="I73" s="29">
        <f t="shared" si="276"/>
        <v>2.003933407744138</v>
      </c>
      <c r="J73" s="29">
        <f t="shared" si="277"/>
        <v>1.9781934437545612</v>
      </c>
      <c r="K73" s="29">
        <f t="shared" si="278"/>
        <v>1.9607691282315824</v>
      </c>
      <c r="L73" s="125">
        <f t="shared" si="233"/>
        <v>1.997687129027039</v>
      </c>
      <c r="M73" s="126">
        <f t="shared" si="234"/>
        <v>7.3427508506077183E-2</v>
      </c>
      <c r="N73" s="126">
        <f t="shared" si="279"/>
        <v>3.6756260497027675</v>
      </c>
      <c r="P73" s="138">
        <f t="shared" si="280"/>
        <v>419.51429709567822</v>
      </c>
      <c r="Q73" s="138">
        <f t="shared" si="281"/>
        <v>325.79239999999999</v>
      </c>
      <c r="R73" s="138">
        <f t="shared" si="282"/>
        <v>419.51429709567822</v>
      </c>
      <c r="S73" s="138">
        <f t="shared" si="283"/>
        <v>354.86550985939152</v>
      </c>
      <c r="T73" s="138">
        <f t="shared" si="284"/>
        <v>469.59652923993377</v>
      </c>
      <c r="U73" s="138">
        <f t="shared" si="285"/>
        <v>419.51429709567822</v>
      </c>
      <c r="V73" s="138">
        <f t="shared" si="286"/>
        <v>253.56918000000002</v>
      </c>
      <c r="W73" s="138">
        <f t="shared" si="287"/>
        <v>380.33807291233717</v>
      </c>
      <c r="X73" s="138">
        <f t="shared" si="288"/>
        <v>73.332389117339275</v>
      </c>
      <c r="Y73" s="138">
        <f t="shared" si="289"/>
        <v>19.280843633616822</v>
      </c>
      <c r="AA73" s="227">
        <f t="shared" si="228"/>
        <v>0.43988710635000006</v>
      </c>
      <c r="AB73" s="227">
        <f t="shared" si="229"/>
        <v>0.4100647668393782</v>
      </c>
      <c r="AC73" s="227">
        <f t="shared" si="230"/>
        <v>0.47</v>
      </c>
      <c r="AD73" s="227">
        <f t="shared" si="231"/>
        <v>0.43988710635000006</v>
      </c>
      <c r="AE73" s="227">
        <f t="shared" si="290"/>
        <v>0.43995974488484457</v>
      </c>
      <c r="AF73" s="227">
        <f t="shared" si="291"/>
        <v>2.4468600235376666E-2</v>
      </c>
      <c r="AG73" s="227">
        <f t="shared" si="292"/>
        <v>5.5615543285172828</v>
      </c>
      <c r="AI73" s="228">
        <f t="shared" si="293"/>
        <v>4.4668080593470325</v>
      </c>
      <c r="AJ73" s="228">
        <f t="shared" si="294"/>
        <v>4.4668080593470325</v>
      </c>
      <c r="AK73" s="228">
        <f t="shared" si="295"/>
        <v>4.4668080593470325</v>
      </c>
      <c r="AL73" s="228">
        <f t="shared" si="296"/>
        <v>7.3228006987580869</v>
      </c>
      <c r="AM73" s="228">
        <f t="shared" si="297"/>
        <v>4.28</v>
      </c>
      <c r="AN73" s="228">
        <f t="shared" si="298"/>
        <v>5.3080684167877195</v>
      </c>
      <c r="AO73" s="228">
        <f t="shared" si="299"/>
        <v>4.5791016634074753</v>
      </c>
      <c r="AP73" s="228">
        <f t="shared" si="300"/>
        <v>4.9843421367134839</v>
      </c>
      <c r="AQ73" s="228">
        <f t="shared" si="301"/>
        <v>1.0829765618633655</v>
      </c>
      <c r="AR73" s="228">
        <f t="shared" si="302"/>
        <v>21.727572709875123</v>
      </c>
      <c r="AT73" s="229">
        <f t="shared" si="303"/>
        <v>1.4248273310310804</v>
      </c>
      <c r="AU73" s="229">
        <f t="shared" si="304"/>
        <v>1.47</v>
      </c>
      <c r="AV73" s="229">
        <f t="shared" si="305"/>
        <v>1.289353347474655</v>
      </c>
      <c r="AW73" s="229">
        <f t="shared" si="306"/>
        <v>1.4248273310310804</v>
      </c>
      <c r="AX73" s="229">
        <f t="shared" si="307"/>
        <v>1.2712284347264702</v>
      </c>
      <c r="AY73" s="229">
        <f t="shared" si="308"/>
        <v>1.3</v>
      </c>
      <c r="AZ73" s="229">
        <f t="shared" si="309"/>
        <v>1.3</v>
      </c>
      <c r="BA73" s="229">
        <f t="shared" si="310"/>
        <v>1.1942031673126401</v>
      </c>
      <c r="BB73" s="229">
        <f t="shared" si="311"/>
        <v>1.3343049514469909</v>
      </c>
      <c r="BC73" s="229">
        <f t="shared" si="312"/>
        <v>9.4704964102359443E-2</v>
      </c>
      <c r="BD73" s="229">
        <f t="shared" si="313"/>
        <v>7.0977001171775882</v>
      </c>
      <c r="BF73" s="230">
        <f t="shared" si="314"/>
        <v>11.73</v>
      </c>
      <c r="BG73" s="230">
        <f t="shared" si="315"/>
        <v>6.27</v>
      </c>
      <c r="BH73" s="230">
        <f t="shared" si="316"/>
        <v>5.4257230769230764</v>
      </c>
      <c r="BI73" s="230">
        <f t="shared" si="235"/>
        <v>7.8085743589743588</v>
      </c>
      <c r="BJ73" s="230">
        <f t="shared" si="236"/>
        <v>3.4221901136962085</v>
      </c>
      <c r="BK73" s="230">
        <f t="shared" si="317"/>
        <v>43.826055261458848</v>
      </c>
      <c r="BM73" s="227">
        <f t="shared" si="318"/>
        <v>31.73</v>
      </c>
      <c r="BN73" s="227">
        <f t="shared" si="319"/>
        <v>24.408002224997546</v>
      </c>
      <c r="BO73" s="227">
        <f t="shared" si="320"/>
        <v>22.993781908004095</v>
      </c>
      <c r="BP73" s="227">
        <f t="shared" si="321"/>
        <v>24.408002224997546</v>
      </c>
      <c r="BQ73" s="227">
        <f t="shared" si="322"/>
        <v>15.17</v>
      </c>
      <c r="BR73" s="227">
        <f t="shared" si="323"/>
        <v>17.800192313356892</v>
      </c>
      <c r="BS73" s="227">
        <f t="shared" si="324"/>
        <v>19.95</v>
      </c>
      <c r="BT73" s="227">
        <f t="shared" si="237"/>
        <v>22.351425524479442</v>
      </c>
      <c r="BU73" s="227">
        <f t="shared" si="238"/>
        <v>5.3988075415141266</v>
      </c>
      <c r="BV73" s="227">
        <f t="shared" si="325"/>
        <v>24.15419784121292</v>
      </c>
      <c r="BX73" s="231">
        <f t="shared" si="326"/>
        <v>0.32912781821968928</v>
      </c>
      <c r="BY73" s="231">
        <f t="shared" si="327"/>
        <v>0.30532248839307802</v>
      </c>
      <c r="BZ73" s="231">
        <f t="shared" si="328"/>
        <v>0.32807749887932641</v>
      </c>
      <c r="CA73" s="231">
        <f t="shared" si="329"/>
        <v>0.24</v>
      </c>
      <c r="CB73" s="231">
        <f t="shared" si="330"/>
        <v>0.37564796721805227</v>
      </c>
      <c r="CC73" s="231">
        <f t="shared" si="331"/>
        <v>0.31140805204105881</v>
      </c>
      <c r="CD73" s="231">
        <f t="shared" si="332"/>
        <v>0.48</v>
      </c>
      <c r="CE73" s="231">
        <f t="shared" si="333"/>
        <v>0.43475224827824616</v>
      </c>
      <c r="CF73" s="231">
        <f t="shared" si="334"/>
        <v>0.35054200912868133</v>
      </c>
      <c r="CG73" s="231">
        <f t="shared" si="335"/>
        <v>7.675571094413744E-2</v>
      </c>
      <c r="CH73" s="231">
        <f t="shared" si="239"/>
        <v>21.896294579620839</v>
      </c>
      <c r="CJ73" s="232">
        <f t="shared" si="336"/>
        <v>1.4990762446520329</v>
      </c>
      <c r="CK73" s="232">
        <f t="shared" si="337"/>
        <v>1.4990762446520329</v>
      </c>
      <c r="CL73" s="232">
        <f t="shared" si="338"/>
        <v>2.1</v>
      </c>
      <c r="CM73" s="232">
        <f t="shared" si="339"/>
        <v>1.9030034952448043</v>
      </c>
      <c r="CN73" s="232">
        <f t="shared" si="340"/>
        <v>1.8637712008875866</v>
      </c>
      <c r="CO73" s="232">
        <f t="shared" si="341"/>
        <v>1.553778556295758</v>
      </c>
      <c r="CP73" s="232">
        <f t="shared" si="342"/>
        <v>1.5000204989144588</v>
      </c>
      <c r="CQ73" s="232">
        <f t="shared" si="343"/>
        <v>1.9137264241062699</v>
      </c>
      <c r="CR73" s="232">
        <f t="shared" si="344"/>
        <v>4.0912958104779182</v>
      </c>
      <c r="CS73" s="232">
        <f t="shared" si="345"/>
        <v>1.41</v>
      </c>
      <c r="CT73" s="232">
        <f t="shared" si="346"/>
        <v>1.3897588806419519</v>
      </c>
      <c r="CU73" s="232">
        <f t="shared" si="347"/>
        <v>1.883955214170256</v>
      </c>
      <c r="CV73" s="232">
        <f t="shared" si="348"/>
        <v>0.77085887867934455</v>
      </c>
      <c r="CW73" s="232">
        <f t="shared" si="240"/>
        <v>40.917049029684669</v>
      </c>
      <c r="CY73" s="229">
        <f t="shared" si="241"/>
        <v>1.19</v>
      </c>
      <c r="CZ73" s="229">
        <f t="shared" si="242"/>
        <v>0.81072037888846493</v>
      </c>
      <c r="DA73" s="229">
        <f t="shared" si="243"/>
        <v>0.50114978388732101</v>
      </c>
      <c r="DB73" s="229">
        <f t="shared" si="244"/>
        <v>1.2154947589252629</v>
      </c>
      <c r="DC73" s="229">
        <f t="shared" si="245"/>
        <v>0.57999999999999996</v>
      </c>
      <c r="DD73" s="229">
        <f t="shared" si="246"/>
        <v>0.57163813719252354</v>
      </c>
      <c r="DE73" s="229">
        <f t="shared" si="247"/>
        <v>0.8</v>
      </c>
      <c r="DF73" s="229">
        <f t="shared" si="248"/>
        <v>0.80985757984193885</v>
      </c>
      <c r="DG73" s="229">
        <f t="shared" si="249"/>
        <v>0.29269757148263431</v>
      </c>
      <c r="DH73" s="229">
        <f t="shared" si="250"/>
        <v>36.141857379387687</v>
      </c>
      <c r="DJ73" s="234">
        <f t="shared" si="349"/>
        <v>0.12086063472070498</v>
      </c>
      <c r="DK73" s="234">
        <f t="shared" si="350"/>
        <v>0.16332518205500673</v>
      </c>
      <c r="DL73" s="234">
        <f t="shared" si="351"/>
        <v>0.11407875332266616</v>
      </c>
      <c r="DM73" s="234">
        <f t="shared" si="251"/>
        <v>0.13275485669945927</v>
      </c>
      <c r="DN73" s="234">
        <f t="shared" si="252"/>
        <v>2.6690954892665202E-2</v>
      </c>
      <c r="DO73" s="234">
        <f t="shared" si="253"/>
        <v>20.105445146229378</v>
      </c>
      <c r="DQ73" s="229">
        <f t="shared" si="352"/>
        <v>3.49</v>
      </c>
      <c r="DR73" s="229">
        <f t="shared" si="353"/>
        <v>3.82598513386626</v>
      </c>
      <c r="DS73" s="229">
        <f t="shared" si="354"/>
        <v>2.9965306935405587</v>
      </c>
      <c r="DT73" s="229">
        <f t="shared" si="355"/>
        <v>2.7104741688755984</v>
      </c>
      <c r="DU73" s="229">
        <f t="shared" si="356"/>
        <v>3.82598513386626</v>
      </c>
      <c r="DV73" s="229">
        <f t="shared" si="357"/>
        <v>1.97</v>
      </c>
      <c r="DW73" s="229">
        <f t="shared" si="358"/>
        <v>2.6427</v>
      </c>
      <c r="DX73" s="229">
        <f t="shared" si="359"/>
        <v>3.4433885413651995</v>
      </c>
      <c r="DY73" s="229">
        <f t="shared" si="254"/>
        <v>3.1131329589392345</v>
      </c>
      <c r="DZ73" s="229">
        <f t="shared" si="255"/>
        <v>0.65150422464795188</v>
      </c>
      <c r="EA73" s="229">
        <f t="shared" si="256"/>
        <v>20.927606794858665</v>
      </c>
      <c r="EC73" s="235">
        <f t="shared" si="360"/>
        <v>0.21764218623838877</v>
      </c>
      <c r="ED73" s="235">
        <f t="shared" si="361"/>
        <v>0.15</v>
      </c>
      <c r="EE73" s="235">
        <f t="shared" si="362"/>
        <v>0.17965770026050742</v>
      </c>
      <c r="EF73" s="235">
        <f t="shared" si="363"/>
        <v>0.14358373847579953</v>
      </c>
      <c r="EG73" s="235">
        <f t="shared" si="364"/>
        <v>0.17272090624367392</v>
      </c>
      <c r="EH73" s="235">
        <f t="shared" si="365"/>
        <v>3.3819395981510528E-2</v>
      </c>
      <c r="EI73" s="235">
        <f t="shared" si="257"/>
        <v>19.580372009974443</v>
      </c>
      <c r="EK73" s="236">
        <f t="shared" si="366"/>
        <v>20.705381659388649</v>
      </c>
      <c r="EL73" s="236">
        <f t="shared" si="367"/>
        <v>34.147082756956166</v>
      </c>
      <c r="EM73" s="236">
        <f t="shared" si="368"/>
        <v>34.879553377891902</v>
      </c>
      <c r="EN73" s="236">
        <f t="shared" si="369"/>
        <v>14.4</v>
      </c>
      <c r="EO73" s="236">
        <f t="shared" si="370"/>
        <v>33.118157409116357</v>
      </c>
      <c r="EP73" s="236">
        <f t="shared" si="371"/>
        <v>34.879553377891902</v>
      </c>
      <c r="EQ73" s="236">
        <f t="shared" si="372"/>
        <v>34.529102980400523</v>
      </c>
      <c r="ER73" s="236">
        <f t="shared" si="373"/>
        <v>29.522690223092216</v>
      </c>
      <c r="ES73" s="236">
        <f t="shared" si="374"/>
        <v>8.3985039828456021</v>
      </c>
      <c r="ET73" s="236">
        <f t="shared" si="258"/>
        <v>28.447624248946035</v>
      </c>
      <c r="EV73" s="238">
        <f t="shared" si="375"/>
        <v>1.6332518205500673E-2</v>
      </c>
      <c r="EW73" s="238">
        <f t="shared" si="376"/>
        <v>1.6332518205500673E-2</v>
      </c>
      <c r="EX73" s="238" t="e">
        <f t="shared" si="377"/>
        <v>#DIV/0!</v>
      </c>
      <c r="EY73" s="238" t="e">
        <f t="shared" si="259"/>
        <v>#DIV/0!</v>
      </c>
      <c r="FA73" s="240">
        <f t="shared" si="378"/>
        <v>0.50630806437052089</v>
      </c>
      <c r="FB73" s="240">
        <f t="shared" si="379"/>
        <v>0.68024938325910311</v>
      </c>
      <c r="FC73" s="240">
        <f t="shared" si="380"/>
        <v>0.59327872381481206</v>
      </c>
      <c r="FD73" s="240">
        <f t="shared" si="381"/>
        <v>0.12299508611464775</v>
      </c>
      <c r="FE73" s="240">
        <f t="shared" si="260"/>
        <v>20.731416984547018</v>
      </c>
      <c r="FG73" s="236">
        <f t="shared" si="382"/>
        <v>1.2</v>
      </c>
      <c r="FH73" s="236">
        <f t="shared" si="383"/>
        <v>1.368099433182435</v>
      </c>
      <c r="FI73" s="236">
        <f t="shared" si="384"/>
        <v>1.3474327519538056</v>
      </c>
      <c r="FJ73" s="236">
        <f t="shared" si="385"/>
        <v>0.92</v>
      </c>
      <c r="FK73" s="236">
        <f t="shared" si="386"/>
        <v>1.3066014564400539</v>
      </c>
      <c r="FL73" s="236">
        <f t="shared" si="387"/>
        <v>0.9</v>
      </c>
      <c r="FM73" s="236">
        <f t="shared" si="388"/>
        <v>1.1736889402627158</v>
      </c>
      <c r="FN73" s="236">
        <f t="shared" si="389"/>
        <v>0.21241660721943434</v>
      </c>
      <c r="FO73" s="236">
        <f t="shared" si="261"/>
        <v>18.098203018926593</v>
      </c>
      <c r="FQ73" s="227">
        <f t="shared" si="390"/>
        <v>0.32</v>
      </c>
      <c r="FR73" s="227">
        <f t="shared" si="391"/>
        <v>0.3412187478628031</v>
      </c>
      <c r="FS73" s="227">
        <f t="shared" si="392"/>
        <v>0.3412187478628031</v>
      </c>
      <c r="FT73" s="227">
        <f t="shared" si="393"/>
        <v>0.24</v>
      </c>
      <c r="FU73" s="227">
        <f t="shared" si="394"/>
        <v>0.34028801681160653</v>
      </c>
      <c r="FV73" s="227">
        <f t="shared" si="262"/>
        <v>0.3165451025074425</v>
      </c>
      <c r="FW73" s="227">
        <f t="shared" si="263"/>
        <v>4.373897736704116E-2</v>
      </c>
      <c r="FX73" s="227">
        <f t="shared" si="264"/>
        <v>13.817613041734797</v>
      </c>
      <c r="FZ73" s="230">
        <f t="shared" si="395"/>
        <v>1.7149144115775707</v>
      </c>
      <c r="GA73" s="230">
        <f t="shared" si="396"/>
        <v>2.4700000000000002</v>
      </c>
      <c r="GB73" s="230">
        <f t="shared" si="397"/>
        <v>3.6746024263883283</v>
      </c>
      <c r="GC73" s="230">
        <f t="shared" si="398"/>
        <v>2.6198389459886333</v>
      </c>
      <c r="GD73" s="230">
        <f t="shared" si="399"/>
        <v>0.98839924177908589</v>
      </c>
      <c r="GE73" s="230">
        <f t="shared" si="265"/>
        <v>37.727481045828156</v>
      </c>
      <c r="GG73" s="231">
        <f t="shared" si="400"/>
        <v>0.11432762743850472</v>
      </c>
      <c r="GH73" s="231">
        <f t="shared" si="401"/>
        <v>0.05</v>
      </c>
      <c r="GI73" s="231">
        <f t="shared" si="402"/>
        <v>0.05</v>
      </c>
      <c r="GJ73" s="231">
        <f t="shared" si="403"/>
        <v>0.12674034127468523</v>
      </c>
      <c r="GK73" s="245">
        <f t="shared" si="404"/>
        <v>7.5580113758228415E-2</v>
      </c>
      <c r="GL73" s="231">
        <f t="shared" si="405"/>
        <v>4.4306056692643259E-2</v>
      </c>
      <c r="GM73" s="231">
        <f t="shared" si="266"/>
        <v>58.621315170777521</v>
      </c>
      <c r="GO73" s="246">
        <f t="shared" si="406"/>
        <v>0.18</v>
      </c>
      <c r="GP73" s="246">
        <f t="shared" si="407"/>
        <v>0.18782395936325774</v>
      </c>
      <c r="GQ73" s="247">
        <f t="shared" si="416"/>
        <v>0.18391197968162887</v>
      </c>
      <c r="GR73" s="246">
        <f t="shared" si="417"/>
        <v>5.5323747214875369E-3</v>
      </c>
      <c r="GS73" s="246">
        <f t="shared" si="267"/>
        <v>3.008164411619441</v>
      </c>
      <c r="GU73" s="249">
        <f t="shared" si="408"/>
        <v>2.3135012038091703E-2</v>
      </c>
      <c r="GV73" s="249">
        <f t="shared" si="409"/>
        <v>2.3135012038091703E-2</v>
      </c>
      <c r="GW73" s="249" t="e">
        <f t="shared" si="410"/>
        <v>#DIV/0!</v>
      </c>
      <c r="GX73" s="249" t="e">
        <f t="shared" si="268"/>
        <v>#DIV/0!</v>
      </c>
      <c r="GZ73" s="240">
        <f t="shared" si="411"/>
        <v>2.4498777308251011E-2</v>
      </c>
      <c r="HA73" s="240">
        <f t="shared" si="412"/>
        <v>2.4498777308251011E-2</v>
      </c>
      <c r="HB73" s="240" t="e">
        <f t="shared" si="413"/>
        <v>#DIV/0!</v>
      </c>
      <c r="HC73" s="240" t="e">
        <f t="shared" si="269"/>
        <v>#DIV/0!</v>
      </c>
      <c r="HE73" s="234">
        <f t="shared" si="414"/>
        <v>9.6748283322728987E-2</v>
      </c>
      <c r="HF73" s="234">
        <f t="shared" si="415"/>
        <v>9.6748283322728987E-2</v>
      </c>
      <c r="HG73" s="251">
        <f t="shared" si="418"/>
        <v>9.6748283322728987E-2</v>
      </c>
      <c r="HH73" s="234">
        <f t="shared" si="419"/>
        <v>0</v>
      </c>
      <c r="HI73" s="234">
        <f t="shared" si="270"/>
        <v>0</v>
      </c>
    </row>
    <row r="74" spans="2:217" ht="15.6" x14ac:dyDescent="0.25">
      <c r="B74">
        <v>70</v>
      </c>
      <c r="C74" s="124">
        <f t="shared" si="271"/>
        <v>81.551358337281272</v>
      </c>
      <c r="D74" s="124">
        <f t="shared" si="272"/>
        <v>168.75933862195143</v>
      </c>
      <c r="E74" s="29">
        <f t="shared" si="273"/>
        <v>2.1496911084812198</v>
      </c>
      <c r="F74" s="29">
        <f t="shared" si="274"/>
        <v>1.9740672684181595</v>
      </c>
      <c r="G74" s="29">
        <f t="shared" si="232"/>
        <v>1.9208513136008123</v>
      </c>
      <c r="H74" s="29">
        <f t="shared" si="275"/>
        <v>1.9732272397933008</v>
      </c>
      <c r="I74" s="29">
        <f t="shared" si="276"/>
        <v>1.9989061242627844</v>
      </c>
      <c r="J74" s="29">
        <f t="shared" si="277"/>
        <v>1.9732272397933006</v>
      </c>
      <c r="K74" s="29">
        <f t="shared" si="278"/>
        <v>1.9552318203505912</v>
      </c>
      <c r="L74" s="125">
        <f t="shared" si="233"/>
        <v>1.9921717306714528</v>
      </c>
      <c r="M74" s="126">
        <f t="shared" si="234"/>
        <v>7.3432990237140894E-2</v>
      </c>
      <c r="N74" s="126">
        <f t="shared" si="279"/>
        <v>3.6860773148502926</v>
      </c>
      <c r="P74" s="138">
        <f t="shared" si="280"/>
        <v>418.35606344100506</v>
      </c>
      <c r="Q74" s="138">
        <f t="shared" si="281"/>
        <v>325.79239999999999</v>
      </c>
      <c r="R74" s="138">
        <f t="shared" si="282"/>
        <v>418.35606344100506</v>
      </c>
      <c r="S74" s="138">
        <f t="shared" si="283"/>
        <v>352.23044113294168</v>
      </c>
      <c r="T74" s="138">
        <f t="shared" si="284"/>
        <v>469.09657782183598</v>
      </c>
      <c r="U74" s="138">
        <f t="shared" si="285"/>
        <v>418.35606344100506</v>
      </c>
      <c r="V74" s="138">
        <f t="shared" si="286"/>
        <v>252.82199999999995</v>
      </c>
      <c r="W74" s="138">
        <f t="shared" si="287"/>
        <v>379.28708703968471</v>
      </c>
      <c r="X74" s="138">
        <f t="shared" si="288"/>
        <v>73.293998452399023</v>
      </c>
      <c r="Y74" s="138">
        <f t="shared" si="289"/>
        <v>19.324148107560092</v>
      </c>
      <c r="AA74" s="227">
        <f t="shared" si="228"/>
        <v>0.44042945000000006</v>
      </c>
      <c r="AB74" s="227">
        <f t="shared" si="229"/>
        <v>0.41015984654731452</v>
      </c>
      <c r="AC74" s="227">
        <f t="shared" si="230"/>
        <v>0.47</v>
      </c>
      <c r="AD74" s="227">
        <f t="shared" si="231"/>
        <v>0.44042945000000006</v>
      </c>
      <c r="AE74" s="227">
        <f t="shared" si="290"/>
        <v>0.44025468663682865</v>
      </c>
      <c r="AF74" s="227">
        <f t="shared" si="291"/>
        <v>2.4430473808701152E-2</v>
      </c>
      <c r="AG74" s="227">
        <f t="shared" si="292"/>
        <v>5.5491683678211796</v>
      </c>
      <c r="AI74" s="228">
        <f t="shared" si="293"/>
        <v>4.4519123699754166</v>
      </c>
      <c r="AJ74" s="228">
        <f t="shared" si="294"/>
        <v>4.4519123699754166</v>
      </c>
      <c r="AK74" s="228">
        <f t="shared" si="295"/>
        <v>4.4519123699754166</v>
      </c>
      <c r="AL74" s="228">
        <f t="shared" si="296"/>
        <v>7.3128294791460968</v>
      </c>
      <c r="AM74" s="228">
        <f t="shared" si="297"/>
        <v>4.28</v>
      </c>
      <c r="AN74" s="228">
        <f t="shared" si="298"/>
        <v>5.3008382919232826</v>
      </c>
      <c r="AO74" s="228">
        <f t="shared" si="299"/>
        <v>4.5652611354585515</v>
      </c>
      <c r="AP74" s="228">
        <f t="shared" si="300"/>
        <v>4.9735237166363104</v>
      </c>
      <c r="AQ74" s="228">
        <f t="shared" si="301"/>
        <v>1.083464732030996</v>
      </c>
      <c r="AR74" s="228">
        <f t="shared" si="302"/>
        <v>21.784649953650248</v>
      </c>
      <c r="AT74" s="229">
        <f t="shared" si="303"/>
        <v>1.4251114714227808</v>
      </c>
      <c r="AU74" s="229">
        <f t="shared" si="304"/>
        <v>1.47</v>
      </c>
      <c r="AV74" s="229">
        <f t="shared" si="305"/>
        <v>1.2845228561769899</v>
      </c>
      <c r="AW74" s="229">
        <f t="shared" si="306"/>
        <v>1.4251114714227808</v>
      </c>
      <c r="AX74" s="229">
        <f t="shared" si="307"/>
        <v>1.29085785628771</v>
      </c>
      <c r="AY74" s="229">
        <f t="shared" si="308"/>
        <v>1.3</v>
      </c>
      <c r="AZ74" s="229">
        <f t="shared" si="309"/>
        <v>1.3</v>
      </c>
      <c r="BA74" s="229">
        <f t="shared" si="310"/>
        <v>1.192306101520775</v>
      </c>
      <c r="BB74" s="229">
        <f t="shared" si="311"/>
        <v>1.3359887196038795</v>
      </c>
      <c r="BC74" s="229">
        <f t="shared" si="312"/>
        <v>9.393413619245683E-2</v>
      </c>
      <c r="BD74" s="229">
        <f t="shared" si="313"/>
        <v>7.0310575841020793</v>
      </c>
      <c r="BF74" s="230">
        <f t="shared" si="314"/>
        <v>11.73</v>
      </c>
      <c r="BG74" s="230">
        <f t="shared" si="315"/>
        <v>6.27</v>
      </c>
      <c r="BH74" s="230">
        <f t="shared" si="316"/>
        <v>5.4084923076923079</v>
      </c>
      <c r="BI74" s="230">
        <f t="shared" si="235"/>
        <v>7.802830769230769</v>
      </c>
      <c r="BJ74" s="230">
        <f t="shared" si="236"/>
        <v>3.4281981420713987</v>
      </c>
      <c r="BK74" s="230">
        <f t="shared" si="317"/>
        <v>43.935313265923398</v>
      </c>
      <c r="BM74" s="227">
        <f t="shared" si="318"/>
        <v>31.73</v>
      </c>
      <c r="BN74" s="227">
        <f t="shared" si="319"/>
        <v>24.31245518940419</v>
      </c>
      <c r="BO74" s="227">
        <f t="shared" si="320"/>
        <v>22.983960287776522</v>
      </c>
      <c r="BP74" s="227">
        <f t="shared" si="321"/>
        <v>24.31245518940419</v>
      </c>
      <c r="BQ74" s="227">
        <f t="shared" si="322"/>
        <v>15.17</v>
      </c>
      <c r="BR74" s="227">
        <f t="shared" si="323"/>
        <v>17.503839161876453</v>
      </c>
      <c r="BS74" s="227">
        <f t="shared" si="324"/>
        <v>19.95</v>
      </c>
      <c r="BT74" s="227">
        <f t="shared" si="237"/>
        <v>22.280387118351623</v>
      </c>
      <c r="BU74" s="227">
        <f t="shared" si="238"/>
        <v>5.4291269952488586</v>
      </c>
      <c r="BV74" s="227">
        <f t="shared" si="325"/>
        <v>24.367292033166986</v>
      </c>
      <c r="BX74" s="231">
        <f t="shared" si="326"/>
        <v>0.32760803835578828</v>
      </c>
      <c r="BY74" s="231">
        <f t="shared" si="327"/>
        <v>0.30453619480136318</v>
      </c>
      <c r="BZ74" s="231">
        <f t="shared" si="328"/>
        <v>0.32774446526425194</v>
      </c>
      <c r="CA74" s="231">
        <f t="shared" si="329"/>
        <v>0.24</v>
      </c>
      <c r="CB74" s="231">
        <f t="shared" si="330"/>
        <v>0.37513628717501407</v>
      </c>
      <c r="CC74" s="231">
        <f t="shared" si="331"/>
        <v>0.30990133909875245</v>
      </c>
      <c r="CD74" s="231">
        <f t="shared" si="332"/>
        <v>0.48</v>
      </c>
      <c r="CE74" s="231">
        <f t="shared" si="333"/>
        <v>0.43174965584318287</v>
      </c>
      <c r="CF74" s="231">
        <f t="shared" si="334"/>
        <v>0.34958449756729409</v>
      </c>
      <c r="CG74" s="231">
        <f t="shared" si="335"/>
        <v>7.6517996937334673E-2</v>
      </c>
      <c r="CH74" s="231">
        <f t="shared" si="239"/>
        <v>21.888269494160038</v>
      </c>
      <c r="CJ74" s="232">
        <f t="shared" si="336"/>
        <v>1.4941462572930317</v>
      </c>
      <c r="CK74" s="232">
        <f t="shared" si="337"/>
        <v>1.4941462572930317</v>
      </c>
      <c r="CL74" s="232">
        <f t="shared" si="338"/>
        <v>2.1</v>
      </c>
      <c r="CM74" s="232">
        <f t="shared" si="339"/>
        <v>1.9003810039536273</v>
      </c>
      <c r="CN74" s="232">
        <f t="shared" si="340"/>
        <v>1.8579406527375624</v>
      </c>
      <c r="CO74" s="232">
        <f t="shared" si="341"/>
        <v>1.5521275143236721</v>
      </c>
      <c r="CP74" s="232">
        <f t="shared" si="342"/>
        <v>1.495087406202015</v>
      </c>
      <c r="CQ74" s="232">
        <f t="shared" si="343"/>
        <v>1.9112639597548733</v>
      </c>
      <c r="CR74" s="232">
        <f t="shared" si="344"/>
        <v>4.0857230526977917</v>
      </c>
      <c r="CS74" s="232">
        <f t="shared" si="345"/>
        <v>1.41</v>
      </c>
      <c r="CT74" s="232">
        <f t="shared" si="346"/>
        <v>1.3844076662096636</v>
      </c>
      <c r="CU74" s="232">
        <f t="shared" si="347"/>
        <v>1.8804748882241151</v>
      </c>
      <c r="CV74" s="232">
        <f t="shared" si="348"/>
        <v>0.77041723723968702</v>
      </c>
      <c r="CW74" s="232">
        <f t="shared" si="240"/>
        <v>40.969291430807381</v>
      </c>
      <c r="CY74" s="229">
        <f t="shared" si="241"/>
        <v>1.19</v>
      </c>
      <c r="CZ74" s="229">
        <f t="shared" si="242"/>
        <v>0.8114690734671125</v>
      </c>
      <c r="DA74" s="229">
        <f t="shared" si="243"/>
        <v>0.49802414454805172</v>
      </c>
      <c r="DB74" s="229">
        <f t="shared" si="244"/>
        <v>1.2142518709505994</v>
      </c>
      <c r="DC74" s="229">
        <f t="shared" si="245"/>
        <v>0.57999999999999996</v>
      </c>
      <c r="DD74" s="229">
        <f t="shared" si="246"/>
        <v>0.57085950836096888</v>
      </c>
      <c r="DE74" s="229">
        <f t="shared" si="247"/>
        <v>0.8</v>
      </c>
      <c r="DF74" s="229">
        <f t="shared" si="248"/>
        <v>0.80922922818953325</v>
      </c>
      <c r="DG74" s="229">
        <f t="shared" si="249"/>
        <v>0.29306844588649622</v>
      </c>
      <c r="DH74" s="229">
        <f t="shared" si="250"/>
        <v>36.215751443156641</v>
      </c>
      <c r="DJ74" s="234">
        <f t="shared" si="349"/>
        <v>0.12069601033917628</v>
      </c>
      <c r="DK74" s="234">
        <f t="shared" si="350"/>
        <v>0.16310271667456255</v>
      </c>
      <c r="DL74" s="234">
        <f t="shared" si="351"/>
        <v>0.11350274493346947</v>
      </c>
      <c r="DM74" s="234">
        <f t="shared" si="251"/>
        <v>0.13243382398240275</v>
      </c>
      <c r="DN74" s="234">
        <f t="shared" si="252"/>
        <v>2.6802453264983976E-2</v>
      </c>
      <c r="DO74" s="234">
        <f t="shared" si="253"/>
        <v>20.238374502079903</v>
      </c>
      <c r="DQ74" s="229">
        <f t="shared" si="352"/>
        <v>3.49</v>
      </c>
      <c r="DR74" s="229">
        <f t="shared" si="353"/>
        <v>3.8154000873749716</v>
      </c>
      <c r="DS74" s="229">
        <f t="shared" si="354"/>
        <v>2.9882575960071791</v>
      </c>
      <c r="DT74" s="229">
        <f t="shared" si="355"/>
        <v>2.7074930056715369</v>
      </c>
      <c r="DU74" s="229">
        <f t="shared" si="356"/>
        <v>3.8154000873749716</v>
      </c>
      <c r="DV74" s="229">
        <f t="shared" si="357"/>
        <v>1.97</v>
      </c>
      <c r="DW74" s="229">
        <f t="shared" si="358"/>
        <v>2.681</v>
      </c>
      <c r="DX74" s="229">
        <f t="shared" si="359"/>
        <v>3.4123826592156976</v>
      </c>
      <c r="DY74" s="229">
        <f t="shared" si="254"/>
        <v>3.1099916794555447</v>
      </c>
      <c r="DZ74" s="229">
        <f t="shared" si="255"/>
        <v>0.64270499031059813</v>
      </c>
      <c r="EA74" s="229">
        <f t="shared" si="256"/>
        <v>20.665810605098283</v>
      </c>
      <c r="EC74" s="235">
        <f t="shared" si="360"/>
        <v>0.21739626207244561</v>
      </c>
      <c r="ED74" s="235">
        <f t="shared" si="361"/>
        <v>0.15</v>
      </c>
      <c r="EE74" s="235">
        <f t="shared" si="362"/>
        <v>0.1794129883420188</v>
      </c>
      <c r="EF74" s="235">
        <f t="shared" si="363"/>
        <v>0.1429088140349476</v>
      </c>
      <c r="EG74" s="235">
        <f t="shared" si="364"/>
        <v>0.17242951611235299</v>
      </c>
      <c r="EH74" s="235">
        <f t="shared" si="365"/>
        <v>3.3888701021625056E-2</v>
      </c>
      <c r="EI74" s="235">
        <f t="shared" si="257"/>
        <v>19.653654307968704</v>
      </c>
      <c r="EK74" s="236">
        <f t="shared" si="366"/>
        <v>20.705381659388649</v>
      </c>
      <c r="EL74" s="236">
        <f t="shared" si="367"/>
        <v>34.287226279285839</v>
      </c>
      <c r="EM74" s="236">
        <f t="shared" si="368"/>
        <v>35.022703043192884</v>
      </c>
      <c r="EN74" s="236">
        <f t="shared" si="369"/>
        <v>14.4</v>
      </c>
      <c r="EO74" s="236">
        <f t="shared" si="370"/>
        <v>33.157619588197456</v>
      </c>
      <c r="EP74" s="236">
        <f t="shared" si="371"/>
        <v>35.022703043192884</v>
      </c>
      <c r="EQ74" s="236">
        <f t="shared" si="372"/>
        <v>34.433948325910876</v>
      </c>
      <c r="ER74" s="236">
        <f t="shared" si="373"/>
        <v>29.575654562738372</v>
      </c>
      <c r="ES74" s="236">
        <f t="shared" si="374"/>
        <v>8.4355923212043287</v>
      </c>
      <c r="ET74" s="236">
        <f t="shared" si="258"/>
        <v>28.522081576622554</v>
      </c>
      <c r="EV74" s="238">
        <f t="shared" si="375"/>
        <v>1.6310271667456255E-2</v>
      </c>
      <c r="EW74" s="238">
        <f t="shared" si="376"/>
        <v>1.6310271667456255E-2</v>
      </c>
      <c r="EX74" s="238" t="e">
        <f t="shared" si="377"/>
        <v>#DIV/0!</v>
      </c>
      <c r="EY74" s="238" t="e">
        <f t="shared" si="259"/>
        <v>#DIV/0!</v>
      </c>
      <c r="FA74" s="240">
        <f t="shared" si="378"/>
        <v>0.5056184216911439</v>
      </c>
      <c r="FB74" s="240">
        <f t="shared" si="379"/>
        <v>0.67932281494955304</v>
      </c>
      <c r="FC74" s="240">
        <f t="shared" si="380"/>
        <v>0.59247061832034853</v>
      </c>
      <c r="FD74" s="240">
        <f t="shared" si="381"/>
        <v>0.12282755439491554</v>
      </c>
      <c r="FE74" s="240">
        <f t="shared" si="260"/>
        <v>20.731416984547028</v>
      </c>
      <c r="FG74" s="236">
        <f t="shared" si="382"/>
        <v>1.2</v>
      </c>
      <c r="FH74" s="236">
        <f t="shared" si="383"/>
        <v>1.3634277738475844</v>
      </c>
      <c r="FI74" s="236">
        <f t="shared" si="384"/>
        <v>1.3455974125651411</v>
      </c>
      <c r="FJ74" s="236">
        <f t="shared" si="385"/>
        <v>0.92</v>
      </c>
      <c r="FK74" s="236">
        <f t="shared" si="386"/>
        <v>1.3048217333965004</v>
      </c>
      <c r="FL74" s="236">
        <f t="shared" si="387"/>
        <v>0.9</v>
      </c>
      <c r="FM74" s="236">
        <f t="shared" si="388"/>
        <v>1.1723078199682042</v>
      </c>
      <c r="FN74" s="236">
        <f t="shared" si="389"/>
        <v>0.21104203306128747</v>
      </c>
      <c r="FO74" s="236">
        <f t="shared" si="261"/>
        <v>18.002271201006867</v>
      </c>
      <c r="FQ74" s="227">
        <f t="shared" si="390"/>
        <v>0.32</v>
      </c>
      <c r="FR74" s="227">
        <f t="shared" si="391"/>
        <v>0.33956023544031216</v>
      </c>
      <c r="FS74" s="227">
        <f t="shared" si="392"/>
        <v>0.33956023544031216</v>
      </c>
      <c r="FT74" s="227">
        <f t="shared" si="393"/>
        <v>0.24</v>
      </c>
      <c r="FU74" s="227">
        <f t="shared" si="394"/>
        <v>0.33982451019145105</v>
      </c>
      <c r="FV74" s="227">
        <f t="shared" si="262"/>
        <v>0.31578899621441503</v>
      </c>
      <c r="FW74" s="227">
        <f t="shared" si="263"/>
        <v>4.3213290955679655E-2</v>
      </c>
      <c r="FX74" s="227">
        <f t="shared" si="264"/>
        <v>13.684229493018375</v>
      </c>
      <c r="FZ74" s="230">
        <f t="shared" si="395"/>
        <v>1.7125785250829069</v>
      </c>
      <c r="GA74" s="230">
        <f t="shared" si="396"/>
        <v>2.4700000000000002</v>
      </c>
      <c r="GB74" s="230">
        <f t="shared" si="397"/>
        <v>3.669624443229055</v>
      </c>
      <c r="GC74" s="230">
        <f t="shared" si="398"/>
        <v>2.6174009894373209</v>
      </c>
      <c r="GD74" s="230">
        <f t="shared" si="399"/>
        <v>0.98681430380718038</v>
      </c>
      <c r="GE74" s="230">
        <f t="shared" si="265"/>
        <v>37.702068112204771</v>
      </c>
      <c r="GG74" s="231">
        <f t="shared" si="400"/>
        <v>0.11417190167219378</v>
      </c>
      <c r="GH74" s="231">
        <f t="shared" si="401"/>
        <v>0.05</v>
      </c>
      <c r="GI74" s="231">
        <f t="shared" si="402"/>
        <v>0.05</v>
      </c>
      <c r="GJ74" s="231">
        <f t="shared" si="403"/>
        <v>0.12656770813946053</v>
      </c>
      <c r="GK74" s="245">
        <f t="shared" si="404"/>
        <v>7.5522569379820173E-2</v>
      </c>
      <c r="GL74" s="231">
        <f t="shared" si="405"/>
        <v>4.4206386905550246E-2</v>
      </c>
      <c r="GM74" s="231">
        <f t="shared" si="266"/>
        <v>58.534008136331103</v>
      </c>
      <c r="GO74" s="246">
        <f t="shared" si="406"/>
        <v>0.18</v>
      </c>
      <c r="GP74" s="246">
        <f t="shared" si="407"/>
        <v>0.18756812417574692</v>
      </c>
      <c r="GQ74" s="247">
        <f t="shared" si="416"/>
        <v>0.18378406208787346</v>
      </c>
      <c r="GR74" s="246">
        <f t="shared" si="417"/>
        <v>5.3514719255325022E-3</v>
      </c>
      <c r="GS74" s="246">
        <f t="shared" si="267"/>
        <v>2.9118259030392855</v>
      </c>
      <c r="GU74" s="249">
        <f t="shared" si="408"/>
        <v>2.3103499816951784E-2</v>
      </c>
      <c r="GV74" s="249">
        <f t="shared" si="409"/>
        <v>2.3103499816951784E-2</v>
      </c>
      <c r="GW74" s="249" t="e">
        <f t="shared" si="410"/>
        <v>#DIV/0!</v>
      </c>
      <c r="GX74" s="249" t="e">
        <f t="shared" si="268"/>
        <v>#DIV/0!</v>
      </c>
      <c r="GZ74" s="240">
        <f t="shared" si="411"/>
        <v>2.4465407501184384E-2</v>
      </c>
      <c r="HA74" s="240">
        <f t="shared" si="412"/>
        <v>2.4465407501184384E-2</v>
      </c>
      <c r="HB74" s="240" t="e">
        <f t="shared" si="413"/>
        <v>#DIV/0!</v>
      </c>
      <c r="HC74" s="240" t="e">
        <f t="shared" si="269"/>
        <v>#DIV/0!</v>
      </c>
      <c r="HE74" s="234">
        <f t="shared" si="414"/>
        <v>9.6615916421364703E-2</v>
      </c>
      <c r="HF74" s="234">
        <f t="shared" si="415"/>
        <v>9.6615916421364703E-2</v>
      </c>
      <c r="HG74" s="251">
        <f t="shared" si="418"/>
        <v>9.6615916421364703E-2</v>
      </c>
      <c r="HH74" s="234">
        <f t="shared" si="419"/>
        <v>0</v>
      </c>
      <c r="HI74" s="234">
        <f t="shared" si="270"/>
        <v>0</v>
      </c>
    </row>
    <row r="75" spans="2:217" ht="15.6" x14ac:dyDescent="0.25">
      <c r="B75">
        <v>71</v>
      </c>
      <c r="C75" s="124">
        <f t="shared" si="271"/>
        <v>81.304167103138752</v>
      </c>
      <c r="D75" s="124">
        <f t="shared" si="272"/>
        <v>168.07315412270236</v>
      </c>
      <c r="E75" s="29">
        <f t="shared" si="273"/>
        <v>2.1424081568806161</v>
      </c>
      <c r="F75" s="29">
        <f t="shared" si="274"/>
        <v>1.9675974939833838</v>
      </c>
      <c r="G75" s="29">
        <f t="shared" si="232"/>
        <v>1.9127163480292109</v>
      </c>
      <c r="H75" s="29">
        <f t="shared" si="275"/>
        <v>1.9667602184540289</v>
      </c>
      <c r="I75" s="29">
        <f t="shared" si="276"/>
        <v>1.9923409374045877</v>
      </c>
      <c r="J75" s="29">
        <f t="shared" si="277"/>
        <v>1.9667602184540292</v>
      </c>
      <c r="K75" s="29">
        <f t="shared" si="278"/>
        <v>1.9482932565270634</v>
      </c>
      <c r="L75" s="125">
        <f t="shared" si="233"/>
        <v>1.9852680899618458</v>
      </c>
      <c r="M75" s="126">
        <f t="shared" si="234"/>
        <v>7.3452084092179015E-2</v>
      </c>
      <c r="N75" s="126">
        <f t="shared" si="279"/>
        <v>3.6998571862196536</v>
      </c>
      <c r="P75" s="138">
        <f t="shared" si="280"/>
        <v>416.9062988919876</v>
      </c>
      <c r="Q75" s="138">
        <f t="shared" si="281"/>
        <v>325.79239999999999</v>
      </c>
      <c r="R75" s="138">
        <f t="shared" si="282"/>
        <v>416.9062988919876</v>
      </c>
      <c r="S75" s="138">
        <f t="shared" si="283"/>
        <v>349.23188307879497</v>
      </c>
      <c r="T75" s="138">
        <f t="shared" si="284"/>
        <v>467.98500714058787</v>
      </c>
      <c r="U75" s="138">
        <f t="shared" si="285"/>
        <v>416.9062988919876</v>
      </c>
      <c r="V75" s="138">
        <f t="shared" si="286"/>
        <v>252.13158000000001</v>
      </c>
      <c r="W75" s="138">
        <f t="shared" si="287"/>
        <v>377.97996669933508</v>
      </c>
      <c r="X75" s="138">
        <f t="shared" si="288"/>
        <v>73.069026935067953</v>
      </c>
      <c r="Y75" s="138">
        <f t="shared" si="289"/>
        <v>19.331454937449333</v>
      </c>
      <c r="AA75" s="227">
        <f t="shared" si="228"/>
        <v>0.44110089265000002</v>
      </c>
      <c r="AB75" s="227">
        <f t="shared" si="229"/>
        <v>0.4102525252525252</v>
      </c>
      <c r="AC75" s="227">
        <f t="shared" si="230"/>
        <v>0.47</v>
      </c>
      <c r="AD75" s="227">
        <f t="shared" si="231"/>
        <v>0.44110089265000002</v>
      </c>
      <c r="AE75" s="227">
        <f t="shared" si="290"/>
        <v>0.4406135776381313</v>
      </c>
      <c r="AF75" s="227">
        <f t="shared" si="291"/>
        <v>2.439829415507867E-2</v>
      </c>
      <c r="AG75" s="227">
        <f t="shared" si="292"/>
        <v>5.5373450554709391</v>
      </c>
      <c r="AI75" s="228">
        <f t="shared" si="293"/>
        <v>4.4332794892238505</v>
      </c>
      <c r="AJ75" s="228">
        <f t="shared" si="294"/>
        <v>4.4332794892238505</v>
      </c>
      <c r="AK75" s="228">
        <f t="shared" si="295"/>
        <v>4.4332794892238505</v>
      </c>
      <c r="AL75" s="228">
        <f t="shared" si="296"/>
        <v>7.2906705119882105</v>
      </c>
      <c r="AM75" s="228">
        <f t="shared" si="297"/>
        <v>4.28</v>
      </c>
      <c r="AN75" s="228">
        <f t="shared" si="298"/>
        <v>5.2847708617040192</v>
      </c>
      <c r="AO75" s="228">
        <f t="shared" si="299"/>
        <v>4.5479369049985943</v>
      </c>
      <c r="AP75" s="228">
        <f t="shared" si="300"/>
        <v>4.957602392337483</v>
      </c>
      <c r="AQ75" s="228">
        <f t="shared" si="301"/>
        <v>1.0802746866796435</v>
      </c>
      <c r="AR75" s="228">
        <f t="shared" si="302"/>
        <v>21.790264752762873</v>
      </c>
      <c r="AT75" s="229">
        <f t="shared" si="303"/>
        <v>1.4253877518388232</v>
      </c>
      <c r="AU75" s="229">
        <f t="shared" si="304"/>
        <v>1.47</v>
      </c>
      <c r="AV75" s="229">
        <f t="shared" si="305"/>
        <v>1.2802529644178988</v>
      </c>
      <c r="AW75" s="229">
        <f t="shared" si="306"/>
        <v>1.4253877518388232</v>
      </c>
      <c r="AX75" s="229">
        <f t="shared" si="307"/>
        <v>1.3120403693975615</v>
      </c>
      <c r="AY75" s="229">
        <f t="shared" si="308"/>
        <v>1.3</v>
      </c>
      <c r="AZ75" s="229">
        <f t="shared" si="309"/>
        <v>1.3</v>
      </c>
      <c r="BA75" s="229">
        <f t="shared" si="310"/>
        <v>1.1904120493355699</v>
      </c>
      <c r="BB75" s="229">
        <f t="shared" si="311"/>
        <v>1.3379351108535849</v>
      </c>
      <c r="BC75" s="229">
        <f t="shared" si="312"/>
        <v>9.3637622459395983E-2</v>
      </c>
      <c r="BD75" s="229">
        <f t="shared" si="313"/>
        <v>6.9986669532617629</v>
      </c>
      <c r="BF75" s="230">
        <f t="shared" si="314"/>
        <v>11.73</v>
      </c>
      <c r="BG75" s="230">
        <f t="shared" si="315"/>
        <v>6.27</v>
      </c>
      <c r="BH75" s="230">
        <f t="shared" si="316"/>
        <v>5.3912615384615385</v>
      </c>
      <c r="BI75" s="230">
        <f t="shared" si="235"/>
        <v>7.7970871794871792</v>
      </c>
      <c r="BJ75" s="230">
        <f t="shared" si="236"/>
        <v>3.4342244774129616</v>
      </c>
      <c r="BK75" s="230">
        <f t="shared" si="317"/>
        <v>44.04496702881336</v>
      </c>
      <c r="BM75" s="227">
        <f t="shared" si="318"/>
        <v>31.73</v>
      </c>
      <c r="BN75" s="227">
        <f t="shared" si="319"/>
        <v>24.193464853350712</v>
      </c>
      <c r="BO75" s="227">
        <f t="shared" si="320"/>
        <v>22.96203151566591</v>
      </c>
      <c r="BP75" s="227">
        <f t="shared" si="321"/>
        <v>24.193464853350712</v>
      </c>
      <c r="BQ75" s="227">
        <f t="shared" si="322"/>
        <v>15.17</v>
      </c>
      <c r="BR75" s="227">
        <f t="shared" si="323"/>
        <v>17.173504861739374</v>
      </c>
      <c r="BS75" s="227">
        <f t="shared" si="324"/>
        <v>19.95</v>
      </c>
      <c r="BT75" s="227">
        <f t="shared" si="237"/>
        <v>22.196066583443812</v>
      </c>
      <c r="BU75" s="227">
        <f t="shared" si="238"/>
        <v>5.4634900528654011</v>
      </c>
      <c r="BV75" s="227">
        <f t="shared" si="325"/>
        <v>24.614676804676073</v>
      </c>
      <c r="BX75" s="231">
        <f t="shared" si="326"/>
        <v>0.32589217792587949</v>
      </c>
      <c r="BY75" s="231">
        <f t="shared" si="327"/>
        <v>0.30327248278267172</v>
      </c>
      <c r="BZ75" s="231">
        <f t="shared" si="328"/>
        <v>0.32700565503722018</v>
      </c>
      <c r="CA75" s="231">
        <f t="shared" si="329"/>
        <v>0.24</v>
      </c>
      <c r="CB75" s="231">
        <f t="shared" si="330"/>
        <v>0.37399919970555723</v>
      </c>
      <c r="CC75" s="231">
        <f t="shared" si="331"/>
        <v>0.30822481810465369</v>
      </c>
      <c r="CD75" s="231">
        <f t="shared" si="332"/>
        <v>0.48</v>
      </c>
      <c r="CE75" s="231">
        <f t="shared" si="333"/>
        <v>0.42889634641784946</v>
      </c>
      <c r="CF75" s="231">
        <f t="shared" si="334"/>
        <v>0.34841133499672899</v>
      </c>
      <c r="CG75" s="231">
        <f t="shared" si="335"/>
        <v>7.6362816199809558E-2</v>
      </c>
      <c r="CH75" s="231">
        <f t="shared" si="239"/>
        <v>21.917431647430895</v>
      </c>
      <c r="CJ75" s="232">
        <f t="shared" si="336"/>
        <v>1.4879753772885123</v>
      </c>
      <c r="CK75" s="232">
        <f t="shared" si="337"/>
        <v>1.4879753772885123</v>
      </c>
      <c r="CL75" s="232">
        <f t="shared" si="338"/>
        <v>2.1</v>
      </c>
      <c r="CM75" s="232">
        <f t="shared" si="339"/>
        <v>1.8945939034093495</v>
      </c>
      <c r="CN75" s="232">
        <f t="shared" si="340"/>
        <v>1.848664167312603</v>
      </c>
      <c r="CO75" s="232">
        <f t="shared" si="341"/>
        <v>1.5484566458421909</v>
      </c>
      <c r="CP75" s="232">
        <f t="shared" si="342"/>
        <v>1.4889126392172514</v>
      </c>
      <c r="CQ75" s="232">
        <f t="shared" si="343"/>
        <v>1.9057859143827354</v>
      </c>
      <c r="CR75" s="232">
        <f t="shared" si="344"/>
        <v>4.0733387718672516</v>
      </c>
      <c r="CS75" s="232">
        <f t="shared" si="345"/>
        <v>1.41</v>
      </c>
      <c r="CT75" s="232">
        <f t="shared" si="346"/>
        <v>1.3784708232569367</v>
      </c>
      <c r="CU75" s="232">
        <f t="shared" si="347"/>
        <v>1.874924874533213</v>
      </c>
      <c r="CV75" s="232">
        <f t="shared" si="348"/>
        <v>0.76833455709730158</v>
      </c>
      <c r="CW75" s="232">
        <f t="shared" si="240"/>
        <v>40.97948496675572</v>
      </c>
      <c r="CY75" s="229">
        <f t="shared" si="241"/>
        <v>1.19</v>
      </c>
      <c r="CZ75" s="229">
        <f t="shared" si="242"/>
        <v>0.81068081622155364</v>
      </c>
      <c r="DA75" s="229">
        <f t="shared" si="243"/>
        <v>0.49504983848268791</v>
      </c>
      <c r="DB75" s="229">
        <f t="shared" si="244"/>
        <v>1.2114857828491334</v>
      </c>
      <c r="DC75" s="229">
        <f t="shared" si="245"/>
        <v>0.57999999999999996</v>
      </c>
      <c r="DD75" s="229">
        <f t="shared" si="246"/>
        <v>0.56912916972197125</v>
      </c>
      <c r="DE75" s="229">
        <f t="shared" si="247"/>
        <v>0.8</v>
      </c>
      <c r="DF75" s="229">
        <f t="shared" si="248"/>
        <v>0.80804937246790653</v>
      </c>
      <c r="DG75" s="229">
        <f t="shared" si="249"/>
        <v>0.29319419725525914</v>
      </c>
      <c r="DH75" s="229">
        <f t="shared" si="250"/>
        <v>36.284193422463673</v>
      </c>
      <c r="DJ75" s="234">
        <f t="shared" si="349"/>
        <v>0.12033016731264536</v>
      </c>
      <c r="DK75" s="234">
        <f t="shared" si="350"/>
        <v>0.16260833420627752</v>
      </c>
      <c r="DL75" s="234">
        <f t="shared" si="351"/>
        <v>0.11285863321764397</v>
      </c>
      <c r="DM75" s="234">
        <f t="shared" si="251"/>
        <v>0.13193237824552229</v>
      </c>
      <c r="DN75" s="234">
        <f t="shared" si="252"/>
        <v>2.6827535500169232E-2</v>
      </c>
      <c r="DO75" s="234">
        <f t="shared" si="253"/>
        <v>20.33430751187095</v>
      </c>
      <c r="DQ75" s="229">
        <f t="shared" si="352"/>
        <v>3.49</v>
      </c>
      <c r="DR75" s="229">
        <f t="shared" si="353"/>
        <v>3.8021508426751289</v>
      </c>
      <c r="DS75" s="229">
        <f t="shared" si="354"/>
        <v>2.9779021349427688</v>
      </c>
      <c r="DT75" s="229">
        <f t="shared" si="355"/>
        <v>2.7008763060200498</v>
      </c>
      <c r="DU75" s="229">
        <f t="shared" si="356"/>
        <v>3.8021508426751289</v>
      </c>
      <c r="DV75" s="229">
        <f t="shared" si="357"/>
        <v>1.97</v>
      </c>
      <c r="DW75" s="229">
        <f t="shared" si="358"/>
        <v>2.7193000000000001</v>
      </c>
      <c r="DX75" s="229">
        <f t="shared" si="359"/>
        <v>3.3739656510144345</v>
      </c>
      <c r="DY75" s="229">
        <f t="shared" si="254"/>
        <v>3.1045432221659386</v>
      </c>
      <c r="DZ75" s="229">
        <f t="shared" si="255"/>
        <v>0.63347835282454712</v>
      </c>
      <c r="EA75" s="229">
        <f t="shared" si="256"/>
        <v>20.404881088516134</v>
      </c>
      <c r="EC75" s="235">
        <f t="shared" si="360"/>
        <v>0.21684925389476636</v>
      </c>
      <c r="ED75" s="235">
        <f t="shared" si="361"/>
        <v>0.15</v>
      </c>
      <c r="EE75" s="235">
        <f t="shared" si="362"/>
        <v>0.17886916762690527</v>
      </c>
      <c r="EF75" s="235">
        <f t="shared" si="363"/>
        <v>0.14215409110416535</v>
      </c>
      <c r="EG75" s="235">
        <f t="shared" si="364"/>
        <v>0.17196812815645923</v>
      </c>
      <c r="EH75" s="235">
        <f t="shared" si="365"/>
        <v>3.3830042138926236E-2</v>
      </c>
      <c r="EI75" s="235">
        <f t="shared" si="257"/>
        <v>19.67227445084891</v>
      </c>
      <c r="EK75" s="236">
        <f t="shared" si="366"/>
        <v>20.705381659388649</v>
      </c>
      <c r="EL75" s="236">
        <f t="shared" si="367"/>
        <v>34.327757772323388</v>
      </c>
      <c r="EM75" s="236">
        <f t="shared" si="368"/>
        <v>35.064103955386507</v>
      </c>
      <c r="EN75" s="236">
        <f t="shared" si="369"/>
        <v>14.4</v>
      </c>
      <c r="EO75" s="236">
        <f t="shared" si="370"/>
        <v>33.12824506893665</v>
      </c>
      <c r="EP75" s="236">
        <f t="shared" si="371"/>
        <v>35.064103955386507</v>
      </c>
      <c r="EQ75" s="236">
        <f t="shared" si="372"/>
        <v>34.222658078863994</v>
      </c>
      <c r="ER75" s="236">
        <f t="shared" si="373"/>
        <v>29.558892927183674</v>
      </c>
      <c r="ES75" s="236">
        <f t="shared" si="374"/>
        <v>8.4263915318673774</v>
      </c>
      <c r="ET75" s="236">
        <f t="shared" si="258"/>
        <v>28.507128303570845</v>
      </c>
      <c r="EV75" s="238">
        <f t="shared" si="375"/>
        <v>1.626083342062775E-2</v>
      </c>
      <c r="EW75" s="238">
        <f t="shared" si="376"/>
        <v>1.626083342062775E-2</v>
      </c>
      <c r="EX75" s="238" t="e">
        <f t="shared" si="377"/>
        <v>#DIV/0!</v>
      </c>
      <c r="EY75" s="238" t="e">
        <f t="shared" si="259"/>
        <v>#DIV/0!</v>
      </c>
      <c r="FA75" s="240">
        <f t="shared" si="378"/>
        <v>0.50408583603946022</v>
      </c>
      <c r="FB75" s="240">
        <f t="shared" si="379"/>
        <v>0.67726371196914581</v>
      </c>
      <c r="FC75" s="240">
        <f t="shared" si="380"/>
        <v>0.59067477400430302</v>
      </c>
      <c r="FD75" s="240">
        <f t="shared" si="381"/>
        <v>0.12245525042136333</v>
      </c>
      <c r="FE75" s="240">
        <f t="shared" si="260"/>
        <v>20.73141698454711</v>
      </c>
      <c r="FG75" s="236">
        <f t="shared" si="382"/>
        <v>1.2</v>
      </c>
      <c r="FH75" s="236">
        <f t="shared" si="383"/>
        <v>1.3572816020457097</v>
      </c>
      <c r="FI75" s="236">
        <f t="shared" si="384"/>
        <v>1.3415187572017895</v>
      </c>
      <c r="FJ75" s="236">
        <f t="shared" si="385"/>
        <v>0.92</v>
      </c>
      <c r="FK75" s="236">
        <f t="shared" si="386"/>
        <v>1.3008666736502201</v>
      </c>
      <c r="FL75" s="236">
        <f t="shared" si="387"/>
        <v>0.9</v>
      </c>
      <c r="FM75" s="236">
        <f t="shared" si="388"/>
        <v>1.1699445054829534</v>
      </c>
      <c r="FN75" s="236">
        <f t="shared" si="389"/>
        <v>0.20876740661859863</v>
      </c>
      <c r="FO75" s="236">
        <f t="shared" si="261"/>
        <v>17.844214459763577</v>
      </c>
      <c r="FQ75" s="227">
        <f t="shared" si="390"/>
        <v>0.32</v>
      </c>
      <c r="FR75" s="227">
        <f t="shared" si="391"/>
        <v>0.33769605804331854</v>
      </c>
      <c r="FS75" s="227">
        <f t="shared" si="392"/>
        <v>0.33769605804331854</v>
      </c>
      <c r="FT75" s="227">
        <f t="shared" si="393"/>
        <v>0.24</v>
      </c>
      <c r="FU75" s="227">
        <f t="shared" si="394"/>
        <v>0.33879446431877913</v>
      </c>
      <c r="FV75" s="227">
        <f t="shared" si="262"/>
        <v>0.31483731608108323</v>
      </c>
      <c r="FW75" s="227">
        <f t="shared" si="263"/>
        <v>4.2562501992192539E-2</v>
      </c>
      <c r="FX75" s="227">
        <f t="shared" si="264"/>
        <v>13.518887316785216</v>
      </c>
      <c r="FZ75" s="230">
        <f t="shared" si="395"/>
        <v>1.7073875091659139</v>
      </c>
      <c r="GA75" s="230">
        <f t="shared" si="396"/>
        <v>2.4700000000000002</v>
      </c>
      <c r="GB75" s="230">
        <f t="shared" si="397"/>
        <v>3.6585250695790572</v>
      </c>
      <c r="GC75" s="230">
        <f t="shared" si="398"/>
        <v>2.6119708595816573</v>
      </c>
      <c r="GD75" s="230">
        <f t="shared" si="399"/>
        <v>0.98328593941004927</v>
      </c>
      <c r="GE75" s="230">
        <f t="shared" si="265"/>
        <v>37.645364066869256</v>
      </c>
      <c r="GG75" s="231">
        <f t="shared" si="400"/>
        <v>0.11382583394439426</v>
      </c>
      <c r="GH75" s="231">
        <f t="shared" si="401"/>
        <v>0.05</v>
      </c>
      <c r="GI75" s="231">
        <f t="shared" si="402"/>
        <v>0.05</v>
      </c>
      <c r="GJ75" s="231">
        <f t="shared" si="403"/>
        <v>0.12618406734407134</v>
      </c>
      <c r="GK75" s="245">
        <f t="shared" si="404"/>
        <v>7.5394689114690452E-2</v>
      </c>
      <c r="GL75" s="231">
        <f t="shared" si="405"/>
        <v>4.3984891789060176E-2</v>
      </c>
      <c r="GM75" s="231">
        <f t="shared" si="266"/>
        <v>58.339509460872407</v>
      </c>
      <c r="GO75" s="246">
        <f t="shared" si="406"/>
        <v>0.18</v>
      </c>
      <c r="GP75" s="246">
        <f t="shared" si="407"/>
        <v>0.18699958433721914</v>
      </c>
      <c r="GQ75" s="247">
        <f t="shared" si="416"/>
        <v>0.18349979216860957</v>
      </c>
      <c r="GR75" s="246">
        <f t="shared" si="417"/>
        <v>4.9494535503348033E-3</v>
      </c>
      <c r="GS75" s="246">
        <f t="shared" si="267"/>
        <v>2.6972529460888852</v>
      </c>
      <c r="GU75" s="249">
        <f t="shared" si="408"/>
        <v>2.303347054031921E-2</v>
      </c>
      <c r="GV75" s="249">
        <f t="shared" si="409"/>
        <v>2.303347054031921E-2</v>
      </c>
      <c r="GW75" s="249" t="e">
        <f t="shared" si="410"/>
        <v>#DIV/0!</v>
      </c>
      <c r="GX75" s="249" t="e">
        <f t="shared" si="268"/>
        <v>#DIV/0!</v>
      </c>
      <c r="GZ75" s="240">
        <f t="shared" si="411"/>
        <v>2.4391250130941629E-2</v>
      </c>
      <c r="HA75" s="240">
        <f t="shared" si="412"/>
        <v>2.4391250130941629E-2</v>
      </c>
      <c r="HB75" s="240" t="e">
        <f t="shared" si="413"/>
        <v>#DIV/0!</v>
      </c>
      <c r="HC75" s="240" t="e">
        <f t="shared" si="269"/>
        <v>#DIV/0!</v>
      </c>
      <c r="HE75" s="234">
        <f t="shared" si="414"/>
        <v>9.6321758852735098E-2</v>
      </c>
      <c r="HF75" s="234">
        <f t="shared" si="415"/>
        <v>9.6321758852735098E-2</v>
      </c>
      <c r="HG75" s="251">
        <f t="shared" si="418"/>
        <v>9.6321758852735098E-2</v>
      </c>
      <c r="HH75" s="234">
        <f t="shared" si="419"/>
        <v>0</v>
      </c>
      <c r="HI75" s="234">
        <f t="shared" si="270"/>
        <v>0</v>
      </c>
    </row>
    <row r="76" spans="2:217" ht="15.6" x14ac:dyDescent="0.25">
      <c r="B76">
        <v>72</v>
      </c>
      <c r="C76" s="124">
        <f t="shared" si="271"/>
        <v>80.889406269532628</v>
      </c>
      <c r="D76" s="124">
        <f t="shared" si="272"/>
        <v>167.46480777372199</v>
      </c>
      <c r="E76" s="29">
        <f t="shared" si="273"/>
        <v>2.1337838985713296</v>
      </c>
      <c r="F76" s="29">
        <f t="shared" si="274"/>
        <v>1.9594211935298842</v>
      </c>
      <c r="G76" s="29">
        <f t="shared" si="232"/>
        <v>1.9035524664488062</v>
      </c>
      <c r="H76" s="29">
        <f t="shared" si="275"/>
        <v>1.958587397277318</v>
      </c>
      <c r="I76" s="29">
        <f t="shared" si="276"/>
        <v>1.9840254688870971</v>
      </c>
      <c r="J76" s="29">
        <f t="shared" si="277"/>
        <v>1.9585873972773182</v>
      </c>
      <c r="K76" s="29">
        <f t="shared" si="278"/>
        <v>1.9397973026881059</v>
      </c>
      <c r="L76" s="125">
        <f t="shared" si="233"/>
        <v>1.9768221606685514</v>
      </c>
      <c r="M76" s="126">
        <f t="shared" si="234"/>
        <v>7.3480121873774382E-2</v>
      </c>
      <c r="N76" s="126">
        <f t="shared" si="279"/>
        <v>3.7170830707868916</v>
      </c>
      <c r="P76" s="138">
        <f t="shared" si="280"/>
        <v>415.13265374039582</v>
      </c>
      <c r="Q76" s="138">
        <f t="shared" si="281"/>
        <v>325.79239999999999</v>
      </c>
      <c r="R76" s="138">
        <f t="shared" si="282"/>
        <v>415.13265374039582</v>
      </c>
      <c r="S76" s="138">
        <f t="shared" si="283"/>
        <v>345.82773884409676</v>
      </c>
      <c r="T76" s="138">
        <f t="shared" si="284"/>
        <v>466.11824780090637</v>
      </c>
      <c r="U76" s="138">
        <f t="shared" si="285"/>
        <v>415.13265374039582</v>
      </c>
      <c r="V76" s="138">
        <f t="shared" si="286"/>
        <v>251.49791999999997</v>
      </c>
      <c r="W76" s="138">
        <f t="shared" si="287"/>
        <v>376.37632398088437</v>
      </c>
      <c r="X76" s="138">
        <f t="shared" si="288"/>
        <v>72.624992690968313</v>
      </c>
      <c r="Y76" s="138">
        <f t="shared" si="289"/>
        <v>19.295845159127715</v>
      </c>
      <c r="AA76" s="227">
        <f t="shared" si="228"/>
        <v>0.44190820320000007</v>
      </c>
      <c r="AB76" s="227">
        <f t="shared" si="229"/>
        <v>0.41034289276807978</v>
      </c>
      <c r="AC76" s="227">
        <f t="shared" si="230"/>
        <v>0.47</v>
      </c>
      <c r="AD76" s="227">
        <f t="shared" si="231"/>
        <v>0.44190820320000007</v>
      </c>
      <c r="AE76" s="227">
        <f t="shared" si="290"/>
        <v>0.44103982479201997</v>
      </c>
      <c r="AF76" s="227">
        <f t="shared" si="291"/>
        <v>2.4375544752054237E-2</v>
      </c>
      <c r="AG76" s="227">
        <f t="shared" si="292"/>
        <v>5.5268353064372251</v>
      </c>
      <c r="AI76" s="228">
        <f t="shared" si="293"/>
        <v>4.410502326422046</v>
      </c>
      <c r="AJ76" s="228">
        <f t="shared" si="294"/>
        <v>4.410502326422046</v>
      </c>
      <c r="AK76" s="228">
        <f t="shared" si="295"/>
        <v>4.410502326422046</v>
      </c>
      <c r="AL76" s="228">
        <f t="shared" si="296"/>
        <v>7.2534900049014723</v>
      </c>
      <c r="AM76" s="228">
        <f t="shared" si="297"/>
        <v>4.28</v>
      </c>
      <c r="AN76" s="228">
        <f t="shared" si="298"/>
        <v>5.2578114075196209</v>
      </c>
      <c r="AO76" s="228">
        <f t="shared" si="299"/>
        <v>4.5267424031871197</v>
      </c>
      <c r="AP76" s="228">
        <f t="shared" si="300"/>
        <v>4.9356501135534785</v>
      </c>
      <c r="AQ76" s="228">
        <f t="shared" si="301"/>
        <v>1.0724265975845697</v>
      </c>
      <c r="AR76" s="228">
        <f t="shared" si="302"/>
        <v>21.728173045322769</v>
      </c>
      <c r="AT76" s="229">
        <f t="shared" si="303"/>
        <v>1.4256564939673526</v>
      </c>
      <c r="AU76" s="229">
        <f t="shared" si="304"/>
        <v>1.47</v>
      </c>
      <c r="AV76" s="229">
        <f t="shared" si="305"/>
        <v>1.2768626491205306</v>
      </c>
      <c r="AW76" s="229">
        <f t="shared" si="306"/>
        <v>1.4256564939673526</v>
      </c>
      <c r="AX76" s="229">
        <f t="shared" si="307"/>
        <v>1.3352606219050027</v>
      </c>
      <c r="AY76" s="229">
        <f t="shared" si="308"/>
        <v>1.3</v>
      </c>
      <c r="AZ76" s="229">
        <f t="shared" si="309"/>
        <v>1.3</v>
      </c>
      <c r="BA76" s="229">
        <f t="shared" si="310"/>
        <v>1.1885210059697242</v>
      </c>
      <c r="BB76" s="229">
        <f t="shared" si="311"/>
        <v>1.3402446581162455</v>
      </c>
      <c r="BC76" s="229">
        <f t="shared" si="312"/>
        <v>9.3905928209364595E-2</v>
      </c>
      <c r="BD76" s="229">
        <f t="shared" si="313"/>
        <v>7.0066258157187669</v>
      </c>
      <c r="BF76" s="230">
        <f t="shared" si="314"/>
        <v>11.73</v>
      </c>
      <c r="BG76" s="230">
        <f t="shared" si="315"/>
        <v>6.27</v>
      </c>
      <c r="BH76" s="230">
        <f t="shared" si="316"/>
        <v>5.3740307692307692</v>
      </c>
      <c r="BI76" s="230">
        <f t="shared" si="235"/>
        <v>7.7913435897435903</v>
      </c>
      <c r="BJ76" s="230">
        <f t="shared" si="236"/>
        <v>3.440269023515707</v>
      </c>
      <c r="BK76" s="230">
        <f t="shared" si="317"/>
        <v>44.15501619058908</v>
      </c>
      <c r="BM76" s="227">
        <f t="shared" si="318"/>
        <v>31.73</v>
      </c>
      <c r="BN76" s="227">
        <f t="shared" si="319"/>
        <v>24.048574323008552</v>
      </c>
      <c r="BO76" s="227">
        <f t="shared" si="320"/>
        <v>22.924910235539741</v>
      </c>
      <c r="BP76" s="227">
        <f t="shared" si="321"/>
        <v>24.048574323008552</v>
      </c>
      <c r="BQ76" s="227">
        <f t="shared" si="322"/>
        <v>15.17</v>
      </c>
      <c r="BR76" s="227">
        <f t="shared" si="323"/>
        <v>16.804068188461912</v>
      </c>
      <c r="BS76" s="227">
        <f t="shared" si="324"/>
        <v>19.95</v>
      </c>
      <c r="BT76" s="227">
        <f t="shared" si="237"/>
        <v>22.096589581431253</v>
      </c>
      <c r="BU76" s="227">
        <f t="shared" si="238"/>
        <v>5.5031123469216894</v>
      </c>
      <c r="BV76" s="227">
        <f t="shared" si="325"/>
        <v>24.904804094954994</v>
      </c>
      <c r="BX76" s="231">
        <f t="shared" si="326"/>
        <v>0.32398469314649925</v>
      </c>
      <c r="BY76" s="231">
        <f t="shared" si="327"/>
        <v>0.30142035011546381</v>
      </c>
      <c r="BZ76" s="231">
        <f t="shared" si="328"/>
        <v>0.32576992640431013</v>
      </c>
      <c r="CA76" s="231">
        <f t="shared" si="329"/>
        <v>0.24</v>
      </c>
      <c r="CB76" s="231">
        <f t="shared" si="330"/>
        <v>0.3720912935911036</v>
      </c>
      <c r="CC76" s="231">
        <f t="shared" si="331"/>
        <v>0.30639168738204603</v>
      </c>
      <c r="CD76" s="231">
        <f t="shared" si="332"/>
        <v>0.48</v>
      </c>
      <c r="CE76" s="231">
        <f t="shared" si="333"/>
        <v>0.42635404475646466</v>
      </c>
      <c r="CF76" s="231">
        <f t="shared" si="334"/>
        <v>0.34700149942448594</v>
      </c>
      <c r="CG76" s="231">
        <f t="shared" si="335"/>
        <v>7.6318503024227741E-2</v>
      </c>
      <c r="CH76" s="231">
        <f t="shared" si="239"/>
        <v>21.993709868921211</v>
      </c>
      <c r="CJ76" s="232">
        <f t="shared" si="336"/>
        <v>1.4804259090603864</v>
      </c>
      <c r="CK76" s="232">
        <f t="shared" si="337"/>
        <v>1.4804259090603864</v>
      </c>
      <c r="CL76" s="232">
        <f t="shared" si="338"/>
        <v>2.1</v>
      </c>
      <c r="CM76" s="232">
        <f t="shared" si="339"/>
        <v>1.8849052896914635</v>
      </c>
      <c r="CN76" s="232">
        <f t="shared" si="340"/>
        <v>1.835140546604439</v>
      </c>
      <c r="CO76" s="232">
        <f t="shared" si="341"/>
        <v>1.542291792797535</v>
      </c>
      <c r="CP76" s="232">
        <f t="shared" si="342"/>
        <v>1.4813584156489092</v>
      </c>
      <c r="CQ76" s="232">
        <f t="shared" si="343"/>
        <v>1.896577014083825</v>
      </c>
      <c r="CR76" s="232">
        <f t="shared" si="344"/>
        <v>4.0525592541035849</v>
      </c>
      <c r="CS76" s="232">
        <f t="shared" si="345"/>
        <v>1.41</v>
      </c>
      <c r="CT76" s="232">
        <f t="shared" si="346"/>
        <v>1.3719965138763517</v>
      </c>
      <c r="CU76" s="232">
        <f t="shared" si="347"/>
        <v>1.8668800586297161</v>
      </c>
      <c r="CV76" s="232">
        <f t="shared" si="348"/>
        <v>0.76420415316431545</v>
      </c>
      <c r="CW76" s="232">
        <f t="shared" si="240"/>
        <v>40.934828653386482</v>
      </c>
      <c r="CY76" s="229">
        <f t="shared" si="241"/>
        <v>1.19</v>
      </c>
      <c r="CZ76" s="229">
        <f t="shared" si="242"/>
        <v>0.80800086943092908</v>
      </c>
      <c r="DA76" s="229">
        <f t="shared" si="243"/>
        <v>0.49239638699675586</v>
      </c>
      <c r="DB76" s="229">
        <f t="shared" si="244"/>
        <v>1.2068320864913005</v>
      </c>
      <c r="DC76" s="229">
        <f t="shared" si="245"/>
        <v>0.57999999999999996</v>
      </c>
      <c r="DD76" s="229">
        <f t="shared" si="246"/>
        <v>0.56622584388672836</v>
      </c>
      <c r="DE76" s="229">
        <f t="shared" si="247"/>
        <v>0.8</v>
      </c>
      <c r="DF76" s="229">
        <f t="shared" si="248"/>
        <v>0.80620788382938779</v>
      </c>
      <c r="DG76" s="229">
        <f t="shared" si="249"/>
        <v>0.29299514630739848</v>
      </c>
      <c r="DH76" s="229">
        <f t="shared" si="250"/>
        <v>36.342381683953242</v>
      </c>
      <c r="DJ76" s="234">
        <f t="shared" si="349"/>
        <v>0.11971632127890829</v>
      </c>
      <c r="DK76" s="234">
        <f t="shared" si="350"/>
        <v>0.16177881253906526</v>
      </c>
      <c r="DL76" s="234">
        <f t="shared" si="351"/>
        <v>0.11215061884390395</v>
      </c>
      <c r="DM76" s="234">
        <f t="shared" si="251"/>
        <v>0.13121525088729249</v>
      </c>
      <c r="DN76" s="234">
        <f t="shared" si="252"/>
        <v>2.6737771765146055E-2</v>
      </c>
      <c r="DO76" s="234">
        <f t="shared" si="253"/>
        <v>20.377030554255082</v>
      </c>
      <c r="DQ76" s="229">
        <f t="shared" si="352"/>
        <v>3.49</v>
      </c>
      <c r="DR76" s="229">
        <f t="shared" si="353"/>
        <v>3.7859418237251212</v>
      </c>
      <c r="DS76" s="229">
        <f t="shared" si="354"/>
        <v>2.965233241002827</v>
      </c>
      <c r="DT76" s="229">
        <f t="shared" si="355"/>
        <v>2.6898003402986417</v>
      </c>
      <c r="DU76" s="229">
        <f t="shared" si="356"/>
        <v>3.7859418237251212</v>
      </c>
      <c r="DV76" s="229">
        <f t="shared" si="357"/>
        <v>1.97</v>
      </c>
      <c r="DW76" s="229">
        <f t="shared" si="358"/>
        <v>2.7576000000000001</v>
      </c>
      <c r="DX76" s="229">
        <f t="shared" si="359"/>
        <v>3.3275539333895403</v>
      </c>
      <c r="DY76" s="229">
        <f t="shared" si="254"/>
        <v>3.0965088952676565</v>
      </c>
      <c r="DZ76" s="229">
        <f t="shared" si="255"/>
        <v>0.62397106861999385</v>
      </c>
      <c r="EA76" s="229">
        <f t="shared" si="256"/>
        <v>20.150792060491042</v>
      </c>
      <c r="EC76" s="235">
        <f t="shared" si="360"/>
        <v>0.21592990258117095</v>
      </c>
      <c r="ED76" s="235">
        <f t="shared" si="361"/>
        <v>0.15</v>
      </c>
      <c r="EE76" s="235">
        <f t="shared" si="362"/>
        <v>0.1779566937929718</v>
      </c>
      <c r="EF76" s="235">
        <f t="shared" si="363"/>
        <v>0.14132449171937511</v>
      </c>
      <c r="EG76" s="235">
        <f t="shared" si="364"/>
        <v>0.17130277202337948</v>
      </c>
      <c r="EH76" s="235">
        <f t="shared" si="365"/>
        <v>3.360734464668659E-2</v>
      </c>
      <c r="EI76" s="235">
        <f t="shared" si="257"/>
        <v>19.618681151347538</v>
      </c>
      <c r="EK76" s="236">
        <f t="shared" si="366"/>
        <v>20.705381659388649</v>
      </c>
      <c r="EL76" s="236">
        <f t="shared" si="367"/>
        <v>34.238210229867597</v>
      </c>
      <c r="EM76" s="236">
        <f t="shared" si="368"/>
        <v>34.972635576984267</v>
      </c>
      <c r="EN76" s="236">
        <f t="shared" si="369"/>
        <v>14.4</v>
      </c>
      <c r="EO76" s="236">
        <f t="shared" si="370"/>
        <v>33.014508839870672</v>
      </c>
      <c r="EP76" s="236">
        <f t="shared" si="371"/>
        <v>34.972635576984267</v>
      </c>
      <c r="EQ76" s="236">
        <f t="shared" si="372"/>
        <v>33.868691726588807</v>
      </c>
      <c r="ER76" s="236">
        <f t="shared" si="373"/>
        <v>29.453151944240606</v>
      </c>
      <c r="ES76" s="236">
        <f t="shared" si="374"/>
        <v>8.3579034937156251</v>
      </c>
      <c r="ET76" s="236">
        <f t="shared" si="258"/>
        <v>28.376940809385822</v>
      </c>
      <c r="EV76" s="238">
        <f t="shared" si="375"/>
        <v>1.6177881253906526E-2</v>
      </c>
      <c r="EW76" s="238">
        <f t="shared" si="376"/>
        <v>1.6177881253906526E-2</v>
      </c>
      <c r="EX76" s="238" t="e">
        <f t="shared" si="377"/>
        <v>#DIV/0!</v>
      </c>
      <c r="EY76" s="238" t="e">
        <f t="shared" si="259"/>
        <v>#DIV/0!</v>
      </c>
      <c r="FA76" s="240">
        <f t="shared" si="378"/>
        <v>0.50151431887110232</v>
      </c>
      <c r="FB76" s="240">
        <f t="shared" si="379"/>
        <v>0.67380875422520681</v>
      </c>
      <c r="FC76" s="240">
        <f t="shared" si="380"/>
        <v>0.58766153654815456</v>
      </c>
      <c r="FD76" s="240">
        <f t="shared" si="381"/>
        <v>0.12183056359959436</v>
      </c>
      <c r="FE76" s="240">
        <f t="shared" si="260"/>
        <v>20.731416984547064</v>
      </c>
      <c r="FG76" s="236">
        <f t="shared" si="382"/>
        <v>1.2</v>
      </c>
      <c r="FH76" s="236">
        <f t="shared" si="383"/>
        <v>1.3494139005010506</v>
      </c>
      <c r="FI76" s="236">
        <f t="shared" si="384"/>
        <v>1.3346752034472884</v>
      </c>
      <c r="FJ76" s="236">
        <f t="shared" si="385"/>
        <v>0.92</v>
      </c>
      <c r="FK76" s="236">
        <f t="shared" si="386"/>
        <v>1.2942305003125221</v>
      </c>
      <c r="FL76" s="236">
        <f t="shared" si="387"/>
        <v>0.9</v>
      </c>
      <c r="FM76" s="236">
        <f t="shared" si="388"/>
        <v>1.1663866007101436</v>
      </c>
      <c r="FN76" s="236">
        <f t="shared" si="389"/>
        <v>0.20540795875756102</v>
      </c>
      <c r="FO76" s="236">
        <f t="shared" si="261"/>
        <v>17.610624010298157</v>
      </c>
      <c r="FQ76" s="227">
        <f t="shared" si="390"/>
        <v>0.32</v>
      </c>
      <c r="FR76" s="227">
        <f t="shared" si="391"/>
        <v>0.33563585544948132</v>
      </c>
      <c r="FS76" s="227">
        <f t="shared" si="392"/>
        <v>0.33563585544948132</v>
      </c>
      <c r="FT76" s="227">
        <f t="shared" si="393"/>
        <v>0.24</v>
      </c>
      <c r="FU76" s="227">
        <f t="shared" si="394"/>
        <v>0.33706615592514244</v>
      </c>
      <c r="FV76" s="227">
        <f t="shared" si="262"/>
        <v>0.31366757336482098</v>
      </c>
      <c r="FW76" s="227">
        <f t="shared" si="263"/>
        <v>4.177234579804525E-2</v>
      </c>
      <c r="FX76" s="227">
        <f t="shared" si="264"/>
        <v>13.317393745849721</v>
      </c>
      <c r="FZ76" s="230">
        <f t="shared" si="395"/>
        <v>1.6986775316601852</v>
      </c>
      <c r="GA76" s="230">
        <f t="shared" si="396"/>
        <v>2.4700000000000002</v>
      </c>
      <c r="GB76" s="230">
        <f t="shared" si="397"/>
        <v>3.6398822121261838</v>
      </c>
      <c r="GC76" s="230">
        <f t="shared" si="398"/>
        <v>2.6028532479287896</v>
      </c>
      <c r="GD76" s="230">
        <f t="shared" si="399"/>
        <v>0.97739776548736734</v>
      </c>
      <c r="GE76" s="230">
        <f t="shared" si="265"/>
        <v>37.551013153166735</v>
      </c>
      <c r="GG76" s="231">
        <f t="shared" si="400"/>
        <v>0.11324516877734568</v>
      </c>
      <c r="GH76" s="231">
        <f t="shared" si="401"/>
        <v>0.05</v>
      </c>
      <c r="GI76" s="231">
        <f t="shared" si="402"/>
        <v>0.05</v>
      </c>
      <c r="GJ76" s="231">
        <f t="shared" si="403"/>
        <v>0.12554035853031464</v>
      </c>
      <c r="GK76" s="245">
        <f t="shared" si="404"/>
        <v>7.5180119510104879E-2</v>
      </c>
      <c r="GL76" s="231">
        <f t="shared" si="405"/>
        <v>4.3613246332158011E-2</v>
      </c>
      <c r="GM76" s="231">
        <f t="shared" si="266"/>
        <v>58.011674650631541</v>
      </c>
      <c r="GO76" s="246">
        <f t="shared" si="406"/>
        <v>0.18</v>
      </c>
      <c r="GP76" s="246">
        <f t="shared" si="407"/>
        <v>0.18604563441992505</v>
      </c>
      <c r="GQ76" s="247">
        <f t="shared" si="416"/>
        <v>0.18302281720996252</v>
      </c>
      <c r="GR76" s="246">
        <f t="shared" si="417"/>
        <v>4.2749090949038109E-3</v>
      </c>
      <c r="GS76" s="246">
        <f t="shared" si="267"/>
        <v>2.3357246708751425</v>
      </c>
      <c r="GU76" s="249">
        <f t="shared" si="408"/>
        <v>2.2915968796158592E-2</v>
      </c>
      <c r="GV76" s="249">
        <f t="shared" si="409"/>
        <v>2.2915968796158592E-2</v>
      </c>
      <c r="GW76" s="249" t="e">
        <f t="shared" si="410"/>
        <v>#DIV/0!</v>
      </c>
      <c r="GX76" s="249" t="e">
        <f t="shared" si="268"/>
        <v>#DIV/0!</v>
      </c>
      <c r="GZ76" s="240">
        <f t="shared" si="411"/>
        <v>2.4266821880859792E-2</v>
      </c>
      <c r="HA76" s="240">
        <f t="shared" si="412"/>
        <v>2.4266821880859792E-2</v>
      </c>
      <c r="HB76" s="240" t="e">
        <f t="shared" si="413"/>
        <v>#DIV/0!</v>
      </c>
      <c r="HC76" s="240" t="e">
        <f t="shared" si="269"/>
        <v>#DIV/0!</v>
      </c>
      <c r="HE76" s="234">
        <f t="shared" si="414"/>
        <v>9.582819346074381E-2</v>
      </c>
      <c r="HF76" s="234">
        <f t="shared" si="415"/>
        <v>9.582819346074381E-2</v>
      </c>
      <c r="HG76" s="251">
        <f t="shared" si="418"/>
        <v>9.582819346074381E-2</v>
      </c>
      <c r="HH76" s="234">
        <f t="shared" si="419"/>
        <v>0</v>
      </c>
      <c r="HI76" s="234">
        <f t="shared" si="270"/>
        <v>0</v>
      </c>
    </row>
    <row r="77" spans="2:217" ht="15.6" x14ac:dyDescent="0.25">
      <c r="B77">
        <v>73</v>
      </c>
      <c r="C77" s="124">
        <f t="shared" si="271"/>
        <v>80.283521877543535</v>
      </c>
      <c r="D77" s="124">
        <f t="shared" si="272"/>
        <v>166.97899060690816</v>
      </c>
      <c r="E77" s="29">
        <f t="shared" si="273"/>
        <v>2.1238455940117245</v>
      </c>
      <c r="F77" s="29">
        <f t="shared" si="274"/>
        <v>1.9494574447550175</v>
      </c>
      <c r="G77" s="29">
        <f t="shared" si="232"/>
        <v>1.8934872197850887</v>
      </c>
      <c r="H77" s="29">
        <f t="shared" si="275"/>
        <v>1.948627888395547</v>
      </c>
      <c r="I77" s="29">
        <f t="shared" si="276"/>
        <v>1.9738738717232636</v>
      </c>
      <c r="J77" s="29">
        <f t="shared" si="277"/>
        <v>1.9486278883955472</v>
      </c>
      <c r="K77" s="29">
        <f t="shared" si="278"/>
        <v>1.9297136694252399</v>
      </c>
      <c r="L77" s="125">
        <f t="shared" si="233"/>
        <v>1.9668047966416327</v>
      </c>
      <c r="M77" s="126">
        <f t="shared" si="234"/>
        <v>7.3512735018830919E-2</v>
      </c>
      <c r="N77" s="126">
        <f t="shared" si="279"/>
        <v>3.7376731612794374</v>
      </c>
      <c r="P77" s="138">
        <f t="shared" si="280"/>
        <v>413.02900729474288</v>
      </c>
      <c r="Q77" s="138">
        <f t="shared" si="281"/>
        <v>325.79239999999999</v>
      </c>
      <c r="R77" s="138">
        <f t="shared" si="282"/>
        <v>413.02900729474288</v>
      </c>
      <c r="S77" s="138">
        <f t="shared" si="283"/>
        <v>342.01135157059366</v>
      </c>
      <c r="T77" s="138">
        <f t="shared" si="284"/>
        <v>463.38751294898788</v>
      </c>
      <c r="U77" s="138">
        <f t="shared" si="285"/>
        <v>413.02900729474288</v>
      </c>
      <c r="V77" s="138">
        <f t="shared" si="286"/>
        <v>250.92102</v>
      </c>
      <c r="W77" s="138">
        <f t="shared" si="287"/>
        <v>374.45704377197296</v>
      </c>
      <c r="X77" s="138">
        <f t="shared" si="288"/>
        <v>71.942265189199347</v>
      </c>
      <c r="Y77" s="138">
        <f t="shared" si="289"/>
        <v>19.212421394056847</v>
      </c>
      <c r="AA77" s="227">
        <f t="shared" si="228"/>
        <v>0.44285815055</v>
      </c>
      <c r="AB77" s="227">
        <f t="shared" si="229"/>
        <v>0.41043103448275858</v>
      </c>
      <c r="AC77" s="227">
        <f t="shared" si="230"/>
        <v>0.47</v>
      </c>
      <c r="AD77" s="227">
        <f t="shared" si="231"/>
        <v>0.44285815055</v>
      </c>
      <c r="AE77" s="227">
        <f t="shared" si="290"/>
        <v>0.44153683389568965</v>
      </c>
      <c r="AF77" s="227">
        <f t="shared" si="291"/>
        <v>2.4366741932402992E-2</v>
      </c>
      <c r="AG77" s="227">
        <f t="shared" si="292"/>
        <v>5.5186204325049548</v>
      </c>
      <c r="AI77" s="228">
        <f t="shared" si="293"/>
        <v>4.3835135449684479</v>
      </c>
      <c r="AJ77" s="228">
        <f t="shared" si="294"/>
        <v>4.3835135449684479</v>
      </c>
      <c r="AK77" s="228">
        <f t="shared" si="295"/>
        <v>4.3835135449684479</v>
      </c>
      <c r="AL77" s="228">
        <f t="shared" si="296"/>
        <v>7.1991763454766433</v>
      </c>
      <c r="AM77" s="228">
        <f t="shared" si="297"/>
        <v>4.28</v>
      </c>
      <c r="AN77" s="228">
        <f t="shared" si="298"/>
        <v>5.2184289220403297</v>
      </c>
      <c r="AO77" s="228">
        <f t="shared" si="299"/>
        <v>4.5016044896856062</v>
      </c>
      <c r="AP77" s="228">
        <f t="shared" si="300"/>
        <v>4.9071071988725601</v>
      </c>
      <c r="AQ77" s="228">
        <f t="shared" si="301"/>
        <v>1.0591387237902523</v>
      </c>
      <c r="AR77" s="228">
        <f t="shared" si="302"/>
        <v>21.583769843740043</v>
      </c>
      <c r="AT77" s="229">
        <f t="shared" si="303"/>
        <v>1.4259180021783102</v>
      </c>
      <c r="AU77" s="229">
        <f t="shared" si="304"/>
        <v>1.47</v>
      </c>
      <c r="AV77" s="229">
        <f t="shared" si="305"/>
        <v>1.2746973534202</v>
      </c>
      <c r="AW77" s="229">
        <f t="shared" si="306"/>
        <v>1.4259180021783102</v>
      </c>
      <c r="AX77" s="229">
        <f t="shared" si="307"/>
        <v>1.3610050733347108</v>
      </c>
      <c r="AY77" s="229">
        <f t="shared" si="308"/>
        <v>1.3</v>
      </c>
      <c r="AZ77" s="229">
        <f t="shared" si="309"/>
        <v>1.3</v>
      </c>
      <c r="BA77" s="229">
        <f t="shared" si="310"/>
        <v>1.1866329666435416</v>
      </c>
      <c r="BB77" s="229">
        <f t="shared" si="311"/>
        <v>1.3430214247193843</v>
      </c>
      <c r="BC77" s="229">
        <f t="shared" si="312"/>
        <v>9.4881783450045179E-2</v>
      </c>
      <c r="BD77" s="229">
        <f t="shared" si="313"/>
        <v>7.0648004345775881</v>
      </c>
      <c r="BF77" s="230">
        <f t="shared" si="314"/>
        <v>11.73</v>
      </c>
      <c r="BG77" s="230">
        <f t="shared" si="315"/>
        <v>6.27</v>
      </c>
      <c r="BH77" s="230">
        <f t="shared" si="316"/>
        <v>5.3567999999999998</v>
      </c>
      <c r="BI77" s="230">
        <f t="shared" si="235"/>
        <v>7.7855999999999996</v>
      </c>
      <c r="BJ77" s="230">
        <f t="shared" si="236"/>
        <v>3.4463316845596861</v>
      </c>
      <c r="BK77" s="230">
        <f t="shared" si="317"/>
        <v>44.265460395598105</v>
      </c>
      <c r="BM77" s="227">
        <f t="shared" si="318"/>
        <v>31.73</v>
      </c>
      <c r="BN77" s="227">
        <f t="shared" si="319"/>
        <v>23.877502283144807</v>
      </c>
      <c r="BO77" s="227">
        <f t="shared" si="320"/>
        <v>22.86990907189173</v>
      </c>
      <c r="BP77" s="227">
        <f t="shared" si="321"/>
        <v>23.877502283144807</v>
      </c>
      <c r="BQ77" s="227">
        <f t="shared" si="322"/>
        <v>15.17</v>
      </c>
      <c r="BR77" s="227">
        <f t="shared" si="323"/>
        <v>16.392563069395187</v>
      </c>
      <c r="BS77" s="227">
        <f t="shared" si="324"/>
        <v>19.95</v>
      </c>
      <c r="BT77" s="227">
        <f t="shared" si="237"/>
        <v>21.981068101082361</v>
      </c>
      <c r="BU77" s="227">
        <f t="shared" si="238"/>
        <v>5.5493529871046272</v>
      </c>
      <c r="BV77" s="227">
        <f t="shared" si="325"/>
        <v>25.246057023186118</v>
      </c>
      <c r="BX77" s="231">
        <f t="shared" si="326"/>
        <v>0.3219166492618683</v>
      </c>
      <c r="BY77" s="231">
        <f t="shared" si="327"/>
        <v>0.29889708707299412</v>
      </c>
      <c r="BZ77" s="231">
        <f t="shared" si="328"/>
        <v>0.32397333032755027</v>
      </c>
      <c r="CA77" s="231">
        <f t="shared" si="329"/>
        <v>0.24</v>
      </c>
      <c r="CB77" s="231">
        <f t="shared" si="330"/>
        <v>0.36930422033155974</v>
      </c>
      <c r="CC77" s="231">
        <f t="shared" si="331"/>
        <v>0.30443967674941091</v>
      </c>
      <c r="CD77" s="231">
        <f t="shared" si="332"/>
        <v>0.48</v>
      </c>
      <c r="CE77" s="231">
        <f t="shared" si="333"/>
        <v>0.42431525601570191</v>
      </c>
      <c r="CF77" s="231">
        <f t="shared" si="334"/>
        <v>0.34535577746988566</v>
      </c>
      <c r="CG77" s="231">
        <f t="shared" si="335"/>
        <v>7.6416315257988435E-2</v>
      </c>
      <c r="CH77" s="231">
        <f t="shared" si="239"/>
        <v>22.126838536717916</v>
      </c>
      <c r="CJ77" s="232">
        <f t="shared" si="336"/>
        <v>1.4714718000660287</v>
      </c>
      <c r="CK77" s="232">
        <f t="shared" si="337"/>
        <v>1.4714718000660287</v>
      </c>
      <c r="CL77" s="232">
        <f t="shared" si="338"/>
        <v>2.1</v>
      </c>
      <c r="CM77" s="232">
        <f t="shared" si="339"/>
        <v>1.8707660586828356</v>
      </c>
      <c r="CN77" s="232">
        <f t="shared" si="340"/>
        <v>1.8167728037472797</v>
      </c>
      <c r="CO77" s="232">
        <f t="shared" si="341"/>
        <v>1.5332736305947845</v>
      </c>
      <c r="CP77" s="232">
        <f t="shared" si="342"/>
        <v>1.4723986665441071</v>
      </c>
      <c r="CQ77" s="232">
        <f t="shared" si="343"/>
        <v>1.8830873005571047</v>
      </c>
      <c r="CR77" s="232">
        <f t="shared" si="344"/>
        <v>4.0222044460649311</v>
      </c>
      <c r="CS77" s="232">
        <f t="shared" si="345"/>
        <v>1.41</v>
      </c>
      <c r="CT77" s="232">
        <f t="shared" si="346"/>
        <v>1.3651259293965852</v>
      </c>
      <c r="CU77" s="232">
        <f t="shared" si="347"/>
        <v>1.8560520396108802</v>
      </c>
      <c r="CV77" s="232">
        <f t="shared" si="348"/>
        <v>0.75771813509027197</v>
      </c>
      <c r="CW77" s="232">
        <f t="shared" si="240"/>
        <v>40.824185902089631</v>
      </c>
      <c r="CY77" s="229">
        <f t="shared" si="241"/>
        <v>1.19</v>
      </c>
      <c r="CZ77" s="229">
        <f t="shared" si="242"/>
        <v>0.80317402164906682</v>
      </c>
      <c r="DA77" s="229">
        <f t="shared" si="243"/>
        <v>0.49026618522147086</v>
      </c>
      <c r="DB77" s="229">
        <f t="shared" si="244"/>
        <v>1.2000058101519884</v>
      </c>
      <c r="DC77" s="229">
        <f t="shared" si="245"/>
        <v>0.57999999999999996</v>
      </c>
      <c r="DD77" s="229">
        <f t="shared" si="246"/>
        <v>0.56198465314280477</v>
      </c>
      <c r="DE77" s="229">
        <f t="shared" si="247"/>
        <v>0.8</v>
      </c>
      <c r="DF77" s="229">
        <f t="shared" si="248"/>
        <v>0.80363295288076142</v>
      </c>
      <c r="DG77" s="229">
        <f t="shared" si="249"/>
        <v>0.29240630279890567</v>
      </c>
      <c r="DH77" s="229">
        <f t="shared" si="250"/>
        <v>36.385554095401965</v>
      </c>
      <c r="DJ77" s="234">
        <f t="shared" si="349"/>
        <v>0.11881961237876443</v>
      </c>
      <c r="DK77" s="234">
        <f t="shared" si="350"/>
        <v>0.16056704375508707</v>
      </c>
      <c r="DL77" s="234">
        <f t="shared" si="351"/>
        <v>0.11139239557462474</v>
      </c>
      <c r="DM77" s="234">
        <f t="shared" si="251"/>
        <v>0.13025968390282541</v>
      </c>
      <c r="DN77" s="234">
        <f t="shared" si="252"/>
        <v>2.6508355914216526E-2</v>
      </c>
      <c r="DO77" s="234">
        <f t="shared" si="253"/>
        <v>20.350391709833975</v>
      </c>
      <c r="DQ77" s="229">
        <f t="shared" si="352"/>
        <v>3.49</v>
      </c>
      <c r="DR77" s="229">
        <f t="shared" si="353"/>
        <v>3.766717178466255</v>
      </c>
      <c r="DS77" s="229">
        <f t="shared" si="354"/>
        <v>2.9502071949624487</v>
      </c>
      <c r="DT77" s="229">
        <f t="shared" si="355"/>
        <v>2.6736809535524375</v>
      </c>
      <c r="DU77" s="229">
        <f t="shared" si="356"/>
        <v>3.766717178466255</v>
      </c>
      <c r="DV77" s="229">
        <f t="shared" si="357"/>
        <v>1.97</v>
      </c>
      <c r="DW77" s="229">
        <f t="shared" si="358"/>
        <v>2.7959000000000001</v>
      </c>
      <c r="DX77" s="229">
        <f t="shared" si="359"/>
        <v>3.2733338859862648</v>
      </c>
      <c r="DY77" s="229">
        <f t="shared" si="254"/>
        <v>3.0858195489292077</v>
      </c>
      <c r="DZ77" s="229">
        <f t="shared" si="255"/>
        <v>0.61448261284474137</v>
      </c>
      <c r="EA77" s="229">
        <f t="shared" si="256"/>
        <v>19.913109081766279</v>
      </c>
      <c r="EC77" s="235">
        <f t="shared" si="360"/>
        <v>0.21458346581814045</v>
      </c>
      <c r="ED77" s="235">
        <f t="shared" si="361"/>
        <v>0.15</v>
      </c>
      <c r="EE77" s="235">
        <f t="shared" si="362"/>
        <v>0.17662374813059578</v>
      </c>
      <c r="EF77" s="235">
        <f t="shared" si="363"/>
        <v>0.14043606122833163</v>
      </c>
      <c r="EG77" s="235">
        <f t="shared" si="364"/>
        <v>0.17041081879426698</v>
      </c>
      <c r="EH77" s="235">
        <f t="shared" si="365"/>
        <v>3.3190916684252267E-2</v>
      </c>
      <c r="EI77" s="235">
        <f t="shared" si="257"/>
        <v>19.477000884740121</v>
      </c>
      <c r="EK77" s="236">
        <f t="shared" si="366"/>
        <v>20.705381659388649</v>
      </c>
      <c r="EL77" s="236">
        <f t="shared" si="367"/>
        <v>33.992192647447617</v>
      </c>
      <c r="EM77" s="236">
        <f t="shared" si="368"/>
        <v>34.72134080433873</v>
      </c>
      <c r="EN77" s="236">
        <f t="shared" si="369"/>
        <v>14.4</v>
      </c>
      <c r="EO77" s="236">
        <f t="shared" si="370"/>
        <v>32.805521677766031</v>
      </c>
      <c r="EP77" s="236">
        <f t="shared" si="371"/>
        <v>34.72134080433873</v>
      </c>
      <c r="EQ77" s="236">
        <f t="shared" si="372"/>
        <v>33.352968005230785</v>
      </c>
      <c r="ER77" s="236">
        <f t="shared" si="373"/>
        <v>29.242677942644367</v>
      </c>
      <c r="ES77" s="236">
        <f t="shared" si="374"/>
        <v>8.2195725725450117</v>
      </c>
      <c r="ET77" s="236">
        <f t="shared" si="258"/>
        <v>28.108139031133238</v>
      </c>
      <c r="EV77" s="238">
        <f t="shared" si="375"/>
        <v>1.6056704375508709E-2</v>
      </c>
      <c r="EW77" s="238">
        <f t="shared" si="376"/>
        <v>1.6056704375508709E-2</v>
      </c>
      <c r="EX77" s="238" t="e">
        <f t="shared" si="377"/>
        <v>#DIV/0!</v>
      </c>
      <c r="EY77" s="238" t="e">
        <f t="shared" si="259"/>
        <v>#DIV/0!</v>
      </c>
      <c r="FA77" s="240">
        <f t="shared" si="378"/>
        <v>0.49775783564076992</v>
      </c>
      <c r="FB77" s="240">
        <f t="shared" si="379"/>
        <v>0.6687617372399377</v>
      </c>
      <c r="FC77" s="240">
        <f t="shared" si="380"/>
        <v>0.58325978644035381</v>
      </c>
      <c r="FD77" s="240">
        <f t="shared" si="381"/>
        <v>0.12091801843012887</v>
      </c>
      <c r="FE77" s="240">
        <f t="shared" si="260"/>
        <v>20.731416984547135</v>
      </c>
      <c r="FG77" s="236">
        <f t="shared" si="382"/>
        <v>1.2</v>
      </c>
      <c r="FH77" s="236">
        <f t="shared" si="383"/>
        <v>1.3396849529676269</v>
      </c>
      <c r="FI77" s="236">
        <f t="shared" si="384"/>
        <v>1.3246781109794683</v>
      </c>
      <c r="FJ77" s="236">
        <f t="shared" si="385"/>
        <v>0.92</v>
      </c>
      <c r="FK77" s="236">
        <f t="shared" si="386"/>
        <v>1.2845363500406966</v>
      </c>
      <c r="FL77" s="236">
        <f t="shared" si="387"/>
        <v>0.9</v>
      </c>
      <c r="FM77" s="236">
        <f t="shared" si="388"/>
        <v>1.1614832356646321</v>
      </c>
      <c r="FN77" s="236">
        <f t="shared" si="389"/>
        <v>0.20084903042433708</v>
      </c>
      <c r="FO77" s="236">
        <f t="shared" si="261"/>
        <v>17.292460558796257</v>
      </c>
      <c r="FQ77" s="227">
        <f t="shared" si="390"/>
        <v>0.32</v>
      </c>
      <c r="FR77" s="227">
        <f t="shared" si="391"/>
        <v>0.33341705962208801</v>
      </c>
      <c r="FS77" s="227">
        <f t="shared" si="392"/>
        <v>0.33341705962208801</v>
      </c>
      <c r="FT77" s="227">
        <f t="shared" si="393"/>
        <v>0.24</v>
      </c>
      <c r="FU77" s="227">
        <f t="shared" si="394"/>
        <v>0.33454143566372391</v>
      </c>
      <c r="FV77" s="227">
        <f t="shared" si="262"/>
        <v>0.31227511098158001</v>
      </c>
      <c r="FW77" s="227">
        <f t="shared" si="263"/>
        <v>4.0844579742093448E-2</v>
      </c>
      <c r="FX77" s="227">
        <f t="shared" si="264"/>
        <v>13.079678240672447</v>
      </c>
      <c r="FZ77" s="230">
        <f t="shared" si="395"/>
        <v>1.6859539594284143</v>
      </c>
      <c r="GA77" s="230">
        <f t="shared" si="396"/>
        <v>2.4700000000000002</v>
      </c>
      <c r="GB77" s="230">
        <f t="shared" si="397"/>
        <v>3.6126362748695025</v>
      </c>
      <c r="GC77" s="230">
        <f t="shared" si="398"/>
        <v>2.5895300780993056</v>
      </c>
      <c r="GD77" s="230">
        <f t="shared" si="399"/>
        <v>0.96888686947247804</v>
      </c>
      <c r="GE77" s="230">
        <f t="shared" si="265"/>
        <v>37.415548004896444</v>
      </c>
      <c r="GG77" s="231">
        <f t="shared" si="400"/>
        <v>0.11239693062856095</v>
      </c>
      <c r="GH77" s="231">
        <f t="shared" si="401"/>
        <v>0.05</v>
      </c>
      <c r="GI77" s="231">
        <f t="shared" si="402"/>
        <v>0.05</v>
      </c>
      <c r="GJ77" s="231">
        <f t="shared" si="403"/>
        <v>0.12460002595394756</v>
      </c>
      <c r="GK77" s="245">
        <f t="shared" si="404"/>
        <v>7.4866675317982523E-2</v>
      </c>
      <c r="GL77" s="231">
        <f t="shared" si="405"/>
        <v>4.3070345066064677E-2</v>
      </c>
      <c r="GM77" s="231">
        <f t="shared" si="266"/>
        <v>57.529394597972008</v>
      </c>
      <c r="GO77" s="246">
        <f t="shared" si="406"/>
        <v>0.18</v>
      </c>
      <c r="GP77" s="246">
        <f t="shared" si="407"/>
        <v>0.18465210031835014</v>
      </c>
      <c r="GQ77" s="247">
        <f t="shared" si="416"/>
        <v>0.18232605015917508</v>
      </c>
      <c r="GR77" s="246">
        <f>STDEV(GN77:GP77)</f>
        <v>3.2895316818654834E-3</v>
      </c>
      <c r="GS77" s="246">
        <f t="shared" si="267"/>
        <v>1.8042027889013348</v>
      </c>
      <c r="GU77" s="249">
        <f t="shared" si="408"/>
        <v>2.2744321747908084E-2</v>
      </c>
      <c r="GV77" s="249">
        <f t="shared" si="409"/>
        <v>2.2744321747908084E-2</v>
      </c>
      <c r="GW77" s="249" t="e">
        <f t="shared" si="410"/>
        <v>#DIV/0!</v>
      </c>
      <c r="GX77" s="249" t="e">
        <f t="shared" si="268"/>
        <v>#DIV/0!</v>
      </c>
      <c r="GZ77" s="240">
        <f t="shared" si="411"/>
        <v>2.4085056563263062E-2</v>
      </c>
      <c r="HA77" s="240">
        <f t="shared" si="412"/>
        <v>2.4085056563263062E-2</v>
      </c>
      <c r="HB77" s="240" t="e">
        <f t="shared" si="413"/>
        <v>#DIV/0!</v>
      </c>
      <c r="HC77" s="240" t="e">
        <f t="shared" si="269"/>
        <v>#DIV/0!</v>
      </c>
      <c r="HE77" s="234">
        <f t="shared" si="414"/>
        <v>9.5107191034276797E-2</v>
      </c>
      <c r="HF77" s="234">
        <f t="shared" si="415"/>
        <v>9.5107191034276797E-2</v>
      </c>
      <c r="HG77" s="251">
        <f t="shared" si="418"/>
        <v>9.5107191034276797E-2</v>
      </c>
      <c r="HH77" s="234">
        <f>STDEV(HD77:HF77)</f>
        <v>0</v>
      </c>
      <c r="HI77" s="234">
        <f t="shared" si="270"/>
        <v>0</v>
      </c>
    </row>
    <row r="78" spans="2:217" ht="15.6" x14ac:dyDescent="0.25">
      <c r="B78">
        <v>74</v>
      </c>
      <c r="C78" s="124">
        <f t="shared" si="271"/>
        <v>79.480856496375054</v>
      </c>
      <c r="D78" s="124">
        <f t="shared" si="272"/>
        <v>166.66763913115346</v>
      </c>
      <c r="E78" s="29">
        <f t="shared" si="273"/>
        <v>2.1128498089587815</v>
      </c>
      <c r="F78" s="29">
        <f t="shared" si="274"/>
        <v>1.9378685354512029</v>
      </c>
      <c r="G78" s="29">
        <f t="shared" si="232"/>
        <v>1.8828689044921083</v>
      </c>
      <c r="H78" s="29">
        <f t="shared" si="275"/>
        <v>1.9370439105425001</v>
      </c>
      <c r="I78" s="29">
        <f t="shared" si="276"/>
        <v>1.9620485608315004</v>
      </c>
      <c r="J78" s="29">
        <f t="shared" si="277"/>
        <v>1.9370439105425001</v>
      </c>
      <c r="K78" s="29">
        <f t="shared" si="278"/>
        <v>1.9182520043846656</v>
      </c>
      <c r="L78" s="125">
        <f t="shared" si="233"/>
        <v>1.9554250907433226</v>
      </c>
      <c r="M78" s="126">
        <f t="shared" si="234"/>
        <v>7.3548871483354705E-2</v>
      </c>
      <c r="N78" s="126">
        <f t="shared" si="279"/>
        <v>3.76127277038244</v>
      </c>
      <c r="P78" s="138">
        <f t="shared" si="280"/>
        <v>410.63926905609776</v>
      </c>
      <c r="Q78" s="138">
        <f t="shared" si="281"/>
        <v>325.79239999999999</v>
      </c>
      <c r="R78" s="138">
        <f t="shared" si="282"/>
        <v>410.63926905609776</v>
      </c>
      <c r="S78" s="138">
        <f t="shared" si="283"/>
        <v>337.84301184982365</v>
      </c>
      <c r="T78" s="138">
        <f t="shared" si="284"/>
        <v>459.7629348014591</v>
      </c>
      <c r="U78" s="138">
        <f t="shared" si="285"/>
        <v>410.63926905609776</v>
      </c>
      <c r="V78" s="138">
        <f t="shared" si="286"/>
        <v>250.40088</v>
      </c>
      <c r="W78" s="138">
        <f t="shared" si="287"/>
        <v>372.24529054565375</v>
      </c>
      <c r="X78" s="138">
        <f t="shared" si="288"/>
        <v>71.027082879697801</v>
      </c>
      <c r="Y78" s="138">
        <f t="shared" si="289"/>
        <v>19.080720343186382</v>
      </c>
      <c r="AA78" s="227">
        <f t="shared" si="228"/>
        <v>0.44395750360000003</v>
      </c>
      <c r="AB78" s="227">
        <f t="shared" si="229"/>
        <v>0.41051703163017028</v>
      </c>
      <c r="AC78" s="227">
        <f t="shared" si="230"/>
        <v>0.47</v>
      </c>
      <c r="AD78" s="227">
        <f t="shared" si="231"/>
        <v>0.44395750360000003</v>
      </c>
      <c r="AE78" s="227">
        <f t="shared" si="290"/>
        <v>0.4421080097075426</v>
      </c>
      <c r="AF78" s="227">
        <f t="shared" si="291"/>
        <v>2.4377546182747963E-2</v>
      </c>
      <c r="AG78" s="227">
        <f t="shared" si="292"/>
        <v>5.5139345244782767</v>
      </c>
      <c r="AI78" s="228">
        <f t="shared" si="293"/>
        <v>4.3528890522255006</v>
      </c>
      <c r="AJ78" s="228">
        <f t="shared" si="294"/>
        <v>4.3528890522255006</v>
      </c>
      <c r="AK78" s="228">
        <f t="shared" si="295"/>
        <v>4.3528890522255006</v>
      </c>
      <c r="AL78" s="228">
        <f t="shared" si="296"/>
        <v>7.1272221338039827</v>
      </c>
      <c r="AM78" s="228">
        <f t="shared" si="297"/>
        <v>4.28</v>
      </c>
      <c r="AN78" s="228">
        <f t="shared" si="298"/>
        <v>5.1662556722643789</v>
      </c>
      <c r="AO78" s="228">
        <f t="shared" si="299"/>
        <v>4.4730478692238096</v>
      </c>
      <c r="AP78" s="228">
        <f t="shared" si="300"/>
        <v>4.8721704045669538</v>
      </c>
      <c r="AQ78" s="228">
        <f t="shared" si="301"/>
        <v>1.0400856055427938</v>
      </c>
      <c r="AR78" s="228">
        <f t="shared" si="302"/>
        <v>21.347480058740643</v>
      </c>
      <c r="AT78" s="229">
        <f t="shared" si="303"/>
        <v>1.4261725646733705</v>
      </c>
      <c r="AU78" s="229">
        <f t="shared" si="304"/>
        <v>1.47</v>
      </c>
      <c r="AV78" s="229">
        <f t="shared" si="305"/>
        <v>1.2741108340965148</v>
      </c>
      <c r="AW78" s="229">
        <f t="shared" si="306"/>
        <v>1.4261725646733705</v>
      </c>
      <c r="AX78" s="229">
        <f t="shared" si="307"/>
        <v>1.3896584434365509</v>
      </c>
      <c r="AY78" s="229">
        <f t="shared" si="308"/>
        <v>1.3</v>
      </c>
      <c r="AZ78" s="229">
        <f t="shared" si="309"/>
        <v>1.3</v>
      </c>
      <c r="BA78" s="229">
        <f t="shared" si="310"/>
        <v>1.1847479265849186</v>
      </c>
      <c r="BB78" s="229">
        <f t="shared" si="311"/>
        <v>1.3463577916830909</v>
      </c>
      <c r="BC78" s="229">
        <f t="shared" si="312"/>
        <v>9.6760823810766783E-2</v>
      </c>
      <c r="BD78" s="229">
        <f t="shared" si="313"/>
        <v>7.1868580854577617</v>
      </c>
      <c r="BF78" s="230">
        <f t="shared" si="314"/>
        <v>11.73</v>
      </c>
      <c r="BG78" s="230">
        <f t="shared" si="315"/>
        <v>6.27</v>
      </c>
      <c r="BH78" s="230">
        <f t="shared" si="316"/>
        <v>5.3395692307692304</v>
      </c>
      <c r="BI78" s="230">
        <f t="shared" si="235"/>
        <v>7.7798564102564098</v>
      </c>
      <c r="BJ78" s="230">
        <f t="shared" si="236"/>
        <v>3.4524123651118392</v>
      </c>
      <c r="BK78" s="230">
        <f t="shared" si="317"/>
        <v>44.376299292110637</v>
      </c>
      <c r="BM78" s="227">
        <f t="shared" si="318"/>
        <v>31.73</v>
      </c>
      <c r="BN78" s="227">
        <f t="shared" si="319"/>
        <v>23.684025816347422</v>
      </c>
      <c r="BO78" s="227">
        <f t="shared" si="320"/>
        <v>22.795530421657382</v>
      </c>
      <c r="BP78" s="227">
        <f t="shared" si="321"/>
        <v>23.684025816347422</v>
      </c>
      <c r="BQ78" s="227">
        <f t="shared" si="322"/>
        <v>15.17</v>
      </c>
      <c r="BR78" s="227">
        <f t="shared" si="323"/>
        <v>15.940028908953115</v>
      </c>
      <c r="BS78" s="227">
        <f t="shared" si="324"/>
        <v>19.95</v>
      </c>
      <c r="BT78" s="227">
        <f t="shared" si="237"/>
        <v>21.850515851900763</v>
      </c>
      <c r="BU78" s="227">
        <f t="shared" si="238"/>
        <v>5.6035091029732476</v>
      </c>
      <c r="BV78" s="227">
        <f t="shared" si="325"/>
        <v>25.644745144475856</v>
      </c>
      <c r="BX78" s="231">
        <f t="shared" si="326"/>
        <v>0.31976570739296983</v>
      </c>
      <c r="BY78" s="231">
        <f t="shared" si="327"/>
        <v>0.29568282758702097</v>
      </c>
      <c r="BZ78" s="231">
        <f t="shared" si="328"/>
        <v>0.32160819675013319</v>
      </c>
      <c r="CA78" s="231">
        <f t="shared" si="329"/>
        <v>0.24</v>
      </c>
      <c r="CB78" s="231">
        <f t="shared" si="330"/>
        <v>0.36561195551515902</v>
      </c>
      <c r="CC78" s="231">
        <f t="shared" si="331"/>
        <v>0.30244781571201246</v>
      </c>
      <c r="CD78" s="231">
        <f t="shared" si="332"/>
        <v>0.48</v>
      </c>
      <c r="CE78" s="231">
        <f t="shared" si="333"/>
        <v>0.42300464726086329</v>
      </c>
      <c r="CF78" s="231">
        <f t="shared" si="334"/>
        <v>0.34351514377726983</v>
      </c>
      <c r="CG78" s="231">
        <f t="shared" si="335"/>
        <v>7.6689314943553924E-2</v>
      </c>
      <c r="CH78" s="231">
        <f t="shared" si="239"/>
        <v>22.324871649116627</v>
      </c>
      <c r="CJ78" s="232">
        <f t="shared" si="336"/>
        <v>1.4612999498004908</v>
      </c>
      <c r="CK78" s="232">
        <f t="shared" si="337"/>
        <v>1.4612999498004908</v>
      </c>
      <c r="CL78" s="232">
        <f t="shared" si="338"/>
        <v>2.1</v>
      </c>
      <c r="CM78" s="232">
        <f t="shared" si="339"/>
        <v>1.8520441632343914</v>
      </c>
      <c r="CN78" s="232">
        <f t="shared" si="340"/>
        <v>1.7934175483288739</v>
      </c>
      <c r="CO78" s="232">
        <f t="shared" si="341"/>
        <v>1.5213034225971476</v>
      </c>
      <c r="CP78" s="232">
        <f t="shared" si="342"/>
        <v>1.4622204091241606</v>
      </c>
      <c r="CQ78" s="232">
        <f t="shared" si="343"/>
        <v>1.8651525695979667</v>
      </c>
      <c r="CR78" s="232">
        <f t="shared" si="344"/>
        <v>3.9819909104683902</v>
      </c>
      <c r="CS78" s="232">
        <f t="shared" si="345"/>
        <v>1.41</v>
      </c>
      <c r="CT78" s="232">
        <f t="shared" si="346"/>
        <v>1.3581575789407672</v>
      </c>
      <c r="CU78" s="232">
        <f t="shared" si="347"/>
        <v>1.842444227444789</v>
      </c>
      <c r="CV78" s="232">
        <f t="shared" si="348"/>
        <v>0.74878511501882394</v>
      </c>
      <c r="CW78" s="232">
        <f t="shared" si="240"/>
        <v>40.640856524448701</v>
      </c>
      <c r="CY78" s="229">
        <f t="shared" si="241"/>
        <v>1.19</v>
      </c>
      <c r="CZ78" s="229">
        <f t="shared" si="242"/>
        <v>0.79615758918961232</v>
      </c>
      <c r="DA78" s="229">
        <f t="shared" si="243"/>
        <v>0.48889574205597974</v>
      </c>
      <c r="DB78" s="229">
        <f t="shared" si="244"/>
        <v>1.1909110328349961</v>
      </c>
      <c r="DC78" s="229">
        <f t="shared" si="245"/>
        <v>0.57999999999999996</v>
      </c>
      <c r="DD78" s="229">
        <f t="shared" si="246"/>
        <v>0.5563659954746254</v>
      </c>
      <c r="DE78" s="229">
        <f t="shared" si="247"/>
        <v>0.8</v>
      </c>
      <c r="DF78" s="229">
        <f t="shared" si="248"/>
        <v>0.80033290850788763</v>
      </c>
      <c r="DG78" s="229">
        <f t="shared" si="249"/>
        <v>0.29139572502824124</v>
      </c>
      <c r="DH78" s="229">
        <f t="shared" si="250"/>
        <v>36.409314415361116</v>
      </c>
      <c r="DJ78" s="234">
        <f t="shared" si="349"/>
        <v>0.11763166761463507</v>
      </c>
      <c r="DK78" s="234">
        <f t="shared" si="350"/>
        <v>0.15896171299275011</v>
      </c>
      <c r="DL78" s="234">
        <f t="shared" si="351"/>
        <v>0.11061375607622478</v>
      </c>
      <c r="DM78" s="234">
        <f t="shared" si="251"/>
        <v>0.12906904556120333</v>
      </c>
      <c r="DN78" s="234">
        <f t="shared" si="252"/>
        <v>2.6124537224992739E-2</v>
      </c>
      <c r="DO78" s="234">
        <f t="shared" si="253"/>
        <v>20.240745650051878</v>
      </c>
      <c r="DQ78" s="229">
        <f t="shared" si="352"/>
        <v>3.49</v>
      </c>
      <c r="DR78" s="229">
        <f t="shared" si="353"/>
        <v>3.7448782773788398</v>
      </c>
      <c r="DS78" s="229">
        <f t="shared" si="354"/>
        <v>2.9331376361149837</v>
      </c>
      <c r="DT78" s="229">
        <f t="shared" si="355"/>
        <v>2.6524406475042239</v>
      </c>
      <c r="DU78" s="229">
        <f t="shared" si="356"/>
        <v>3.7448782773788398</v>
      </c>
      <c r="DV78" s="229">
        <f t="shared" si="357"/>
        <v>1.97</v>
      </c>
      <c r="DW78" s="229">
        <f t="shared" si="358"/>
        <v>2.8342000000000001</v>
      </c>
      <c r="DX78" s="229">
        <f t="shared" si="359"/>
        <v>3.2128110963386827</v>
      </c>
      <c r="DY78" s="229">
        <f t="shared" si="254"/>
        <v>3.0727932418394457</v>
      </c>
      <c r="DZ78" s="229">
        <f t="shared" si="255"/>
        <v>0.60549185787827953</v>
      </c>
      <c r="EA78" s="229">
        <f t="shared" si="256"/>
        <v>19.704933271586409</v>
      </c>
      <c r="EC78" s="235">
        <f t="shared" si="360"/>
        <v>0.21279343178854687</v>
      </c>
      <c r="ED78" s="235">
        <f t="shared" si="361"/>
        <v>0.15</v>
      </c>
      <c r="EE78" s="235">
        <f t="shared" si="362"/>
        <v>0.17485788429202512</v>
      </c>
      <c r="EF78" s="235">
        <f t="shared" si="363"/>
        <v>0.13952370849538673</v>
      </c>
      <c r="EG78" s="235">
        <f t="shared" si="364"/>
        <v>0.16929375614398967</v>
      </c>
      <c r="EH78" s="235">
        <f t="shared" si="365"/>
        <v>3.2566271234583E-2</v>
      </c>
      <c r="EI78" s="235">
        <f t="shared" si="257"/>
        <v>19.236545975673408</v>
      </c>
      <c r="EK78" s="236">
        <f t="shared" si="366"/>
        <v>20.705381659388649</v>
      </c>
      <c r="EL78" s="236">
        <f t="shared" si="367"/>
        <v>33.574205817323239</v>
      </c>
      <c r="EM78" s="236">
        <f t="shared" si="368"/>
        <v>34.294387964579407</v>
      </c>
      <c r="EN78" s="236">
        <f t="shared" si="369"/>
        <v>14.4</v>
      </c>
      <c r="EO78" s="236">
        <f t="shared" si="370"/>
        <v>32.50005506012964</v>
      </c>
      <c r="EP78" s="236">
        <f t="shared" si="371"/>
        <v>34.294387964579407</v>
      </c>
      <c r="EQ78" s="236">
        <f t="shared" si="372"/>
        <v>32.672476339935784</v>
      </c>
      <c r="ER78" s="236">
        <f t="shared" si="373"/>
        <v>28.920127829419446</v>
      </c>
      <c r="ES78" s="236">
        <f t="shared" si="374"/>
        <v>8.006642565816847</v>
      </c>
      <c r="ET78" s="236">
        <f t="shared" si="258"/>
        <v>27.685363678344348</v>
      </c>
      <c r="EV78" s="238">
        <f t="shared" si="375"/>
        <v>1.5896171299275012E-2</v>
      </c>
      <c r="EW78" s="238">
        <f t="shared" si="376"/>
        <v>1.5896171299275012E-2</v>
      </c>
      <c r="EX78" s="238" t="e">
        <f t="shared" si="377"/>
        <v>#DIV/0!</v>
      </c>
      <c r="EY78" s="238" t="e">
        <f t="shared" si="259"/>
        <v>#DIV/0!</v>
      </c>
      <c r="FA78" s="240">
        <f t="shared" si="378"/>
        <v>0.49278131027752531</v>
      </c>
      <c r="FB78" s="240">
        <f t="shared" si="379"/>
        <v>0.66207553461480428</v>
      </c>
      <c r="FC78" s="240">
        <f t="shared" si="380"/>
        <v>0.57742842244616477</v>
      </c>
      <c r="FD78" s="240">
        <f t="shared" si="381"/>
        <v>0.11970909404460671</v>
      </c>
      <c r="FE78" s="240">
        <f t="shared" si="260"/>
        <v>20.731416984547121</v>
      </c>
      <c r="FG78" s="236">
        <f t="shared" si="382"/>
        <v>1.2</v>
      </c>
      <c r="FH78" s="236">
        <f t="shared" si="383"/>
        <v>1.3281733162426628</v>
      </c>
      <c r="FI78" s="236">
        <f t="shared" si="384"/>
        <v>1.3114341321901886</v>
      </c>
      <c r="FJ78" s="236">
        <f t="shared" si="385"/>
        <v>0.92</v>
      </c>
      <c r="FK78" s="236">
        <f t="shared" si="386"/>
        <v>1.2716937039420009</v>
      </c>
      <c r="FL78" s="236">
        <f t="shared" si="387"/>
        <v>0.9</v>
      </c>
      <c r="FM78" s="236">
        <f t="shared" si="388"/>
        <v>1.155216858729142</v>
      </c>
      <c r="FN78" s="236">
        <f t="shared" si="389"/>
        <v>0.1951167719833595</v>
      </c>
      <c r="FO78" s="236">
        <f t="shared" si="261"/>
        <v>16.890055794200244</v>
      </c>
      <c r="FQ78" s="227">
        <f t="shared" si="390"/>
        <v>0.32</v>
      </c>
      <c r="FR78" s="227">
        <f t="shared" si="391"/>
        <v>0.33112454094075011</v>
      </c>
      <c r="FS78" s="227">
        <f t="shared" si="392"/>
        <v>0.33112454094075011</v>
      </c>
      <c r="FT78" s="227">
        <f t="shared" si="393"/>
        <v>0.24</v>
      </c>
      <c r="FU78" s="227">
        <f t="shared" si="394"/>
        <v>0.33119672902039482</v>
      </c>
      <c r="FV78" s="227">
        <f t="shared" si="262"/>
        <v>0.31068916218037901</v>
      </c>
      <c r="FW78" s="227">
        <f t="shared" si="263"/>
        <v>3.9810234420700925E-2</v>
      </c>
      <c r="FX78" s="227">
        <f t="shared" si="264"/>
        <v>12.813525306553183</v>
      </c>
      <c r="FZ78" s="230">
        <f t="shared" si="395"/>
        <v>1.6690979864238762</v>
      </c>
      <c r="GA78" s="230">
        <f t="shared" si="396"/>
        <v>2.4700000000000002</v>
      </c>
      <c r="GB78" s="230">
        <f t="shared" si="397"/>
        <v>3.5765329390424863</v>
      </c>
      <c r="GC78" s="230">
        <f t="shared" si="398"/>
        <v>2.5718769751554542</v>
      </c>
      <c r="GD78" s="230">
        <f t="shared" si="399"/>
        <v>0.95778975415688683</v>
      </c>
      <c r="GE78" s="230">
        <f t="shared" si="265"/>
        <v>37.240885291528933</v>
      </c>
      <c r="GG78" s="231">
        <f t="shared" si="400"/>
        <v>0.11127319909492507</v>
      </c>
      <c r="GH78" s="231">
        <f t="shared" si="401"/>
        <v>0.05</v>
      </c>
      <c r="GI78" s="231">
        <f t="shared" si="402"/>
        <v>0.05</v>
      </c>
      <c r="GJ78" s="231">
        <f t="shared" si="403"/>
        <v>0.12335428928237409</v>
      </c>
      <c r="GK78" s="245">
        <f t="shared" si="404"/>
        <v>7.4451429760791374E-2</v>
      </c>
      <c r="GL78" s="231">
        <f t="shared" si="405"/>
        <v>4.2351118663392348E-2</v>
      </c>
      <c r="GM78" s="231">
        <f t="shared" si="266"/>
        <v>56.884224788515567</v>
      </c>
      <c r="GO78" s="246">
        <f t="shared" si="406"/>
        <v>0.18</v>
      </c>
      <c r="GP78" s="246">
        <f t="shared" si="407"/>
        <v>0.18280596994166262</v>
      </c>
      <c r="GQ78" s="247">
        <f t="shared" si="416"/>
        <v>0.18140298497083129</v>
      </c>
      <c r="GR78" s="246">
        <f t="shared" ref="GR78:GR84" si="420">STDEV(GN78:GP78)</f>
        <v>1.9841203735552655E-3</v>
      </c>
      <c r="GS78" s="246">
        <f t="shared" si="267"/>
        <v>1.0937639057451576</v>
      </c>
      <c r="GU78" s="249">
        <f t="shared" si="408"/>
        <v>2.2516926645423051E-2</v>
      </c>
      <c r="GV78" s="249">
        <f t="shared" si="409"/>
        <v>2.2516926645423051E-2</v>
      </c>
      <c r="GW78" s="249" t="e">
        <f t="shared" si="410"/>
        <v>#DIV/0!</v>
      </c>
      <c r="GX78" s="249" t="e">
        <f t="shared" si="268"/>
        <v>#DIV/0!</v>
      </c>
      <c r="GZ78" s="240">
        <f t="shared" si="411"/>
        <v>2.3844256948912519E-2</v>
      </c>
      <c r="HA78" s="240">
        <f t="shared" si="412"/>
        <v>2.3844256948912519E-2</v>
      </c>
      <c r="HB78" s="240" t="e">
        <f t="shared" si="413"/>
        <v>#DIV/0!</v>
      </c>
      <c r="HC78" s="240" t="e">
        <f t="shared" si="269"/>
        <v>#DIV/0!</v>
      </c>
      <c r="HE78" s="234">
        <f t="shared" si="414"/>
        <v>9.4152019230686293E-2</v>
      </c>
      <c r="HF78" s="234">
        <f t="shared" si="415"/>
        <v>9.4152019230686293E-2</v>
      </c>
      <c r="HG78" s="251">
        <f t="shared" si="418"/>
        <v>9.4152019230686293E-2</v>
      </c>
      <c r="HH78" s="234">
        <f t="shared" ref="HH78:HH84" si="421">STDEV(HD78:HF78)</f>
        <v>0</v>
      </c>
      <c r="HI78" s="234">
        <f t="shared" si="270"/>
        <v>0</v>
      </c>
    </row>
    <row r="79" spans="2:217" ht="15.6" x14ac:dyDescent="0.25">
      <c r="B79">
        <v>75</v>
      </c>
      <c r="C79" s="124">
        <f t="shared" si="271"/>
        <v>78.507863858016208</v>
      </c>
      <c r="D79" s="124">
        <f t="shared" si="272"/>
        <v>166.59047699999928</v>
      </c>
      <c r="E79" s="29">
        <f t="shared" si="273"/>
        <v>2.1014415243644891</v>
      </c>
      <c r="F79" s="29">
        <f t="shared" si="274"/>
        <v>1.925238387314965</v>
      </c>
      <c r="G79" s="29">
        <f t="shared" si="232"/>
        <v>1.872409308190262</v>
      </c>
      <c r="H79" s="29">
        <f t="shared" si="275"/>
        <v>1.9244191369373842</v>
      </c>
      <c r="I79" s="29">
        <f t="shared" si="276"/>
        <v>1.9491425780582183</v>
      </c>
      <c r="J79" s="29">
        <f t="shared" si="277"/>
        <v>1.9244191369373842</v>
      </c>
      <c r="K79" s="29">
        <f t="shared" si="278"/>
        <v>1.9060330013726534</v>
      </c>
      <c r="L79" s="125">
        <f t="shared" si="233"/>
        <v>1.943300439025051</v>
      </c>
      <c r="M79" s="126">
        <f t="shared" si="234"/>
        <v>7.3593922586558377E-2</v>
      </c>
      <c r="N79" s="126">
        <f t="shared" si="279"/>
        <v>3.7870584037679871</v>
      </c>
      <c r="P79" s="138">
        <f t="shared" si="280"/>
        <v>408.09309219526068</v>
      </c>
      <c r="Q79" s="138">
        <f t="shared" si="281"/>
        <v>325.79239999999999</v>
      </c>
      <c r="R79" s="138">
        <f t="shared" si="282"/>
        <v>408.09309219526068</v>
      </c>
      <c r="S79" s="138">
        <f t="shared" si="283"/>
        <v>333.49686601277642</v>
      </c>
      <c r="T79" s="138">
        <f t="shared" si="284"/>
        <v>455.3584683585018</v>
      </c>
      <c r="U79" s="138">
        <f t="shared" si="285"/>
        <v>408.09309219526068</v>
      </c>
      <c r="V79" s="138">
        <f t="shared" si="286"/>
        <v>249.93750000000003</v>
      </c>
      <c r="W79" s="138">
        <f t="shared" si="287"/>
        <v>369.83778727958003</v>
      </c>
      <c r="X79" s="138">
        <f t="shared" si="288"/>
        <v>69.92964266989101</v>
      </c>
      <c r="Y79" s="138">
        <f t="shared" si="289"/>
        <v>18.908193017342352</v>
      </c>
      <c r="AA79" s="227">
        <f t="shared" si="228"/>
        <v>0.44521303125000011</v>
      </c>
      <c r="AB79" s="227">
        <f t="shared" si="229"/>
        <v>0.41060096153846154</v>
      </c>
      <c r="AC79" s="227">
        <f t="shared" si="230"/>
        <v>0.47</v>
      </c>
      <c r="AD79" s="227">
        <f t="shared" si="231"/>
        <v>0.44521303125000011</v>
      </c>
      <c r="AE79" s="227">
        <f t="shared" si="290"/>
        <v>0.44275675600961539</v>
      </c>
      <c r="AF79" s="227">
        <f t="shared" si="291"/>
        <v>2.4414859118330436E-2</v>
      </c>
      <c r="AG79" s="227">
        <f t="shared" si="292"/>
        <v>5.5142826816176731</v>
      </c>
      <c r="AI79" s="228">
        <f t="shared" si="293"/>
        <v>4.3203006069720393</v>
      </c>
      <c r="AJ79" s="228">
        <f t="shared" si="294"/>
        <v>4.3203006069720393</v>
      </c>
      <c r="AK79" s="228">
        <f t="shared" si="295"/>
        <v>4.3203006069720393</v>
      </c>
      <c r="AL79" s="228">
        <f t="shared" si="296"/>
        <v>7.0399984848822514</v>
      </c>
      <c r="AM79" s="228">
        <f t="shared" si="297"/>
        <v>4.28</v>
      </c>
      <c r="AN79" s="228">
        <f t="shared" si="298"/>
        <v>5.1030111507710538</v>
      </c>
      <c r="AO79" s="228">
        <f t="shared" si="299"/>
        <v>4.4426218564213542</v>
      </c>
      <c r="AP79" s="228">
        <f t="shared" si="300"/>
        <v>4.8323619018558253</v>
      </c>
      <c r="AQ79" s="228">
        <f t="shared" si="301"/>
        <v>1.0157535447018451</v>
      </c>
      <c r="AR79" s="228">
        <f t="shared" si="302"/>
        <v>21.019815264907084</v>
      </c>
      <c r="AT79" s="229">
        <f t="shared" si="303"/>
        <v>1.4264204545454544</v>
      </c>
      <c r="AU79" s="229">
        <f t="shared" si="304"/>
        <v>1.47</v>
      </c>
      <c r="AV79" s="229">
        <f t="shared" si="305"/>
        <v>1.27543750328672</v>
      </c>
      <c r="AW79" s="229">
        <f t="shared" si="306"/>
        <v>1.4264204545454544</v>
      </c>
      <c r="AX79" s="229">
        <f t="shared" si="307"/>
        <v>1.4212894200143276</v>
      </c>
      <c r="AY79" s="229">
        <f t="shared" si="308"/>
        <v>1.3</v>
      </c>
      <c r="AZ79" s="229">
        <f t="shared" si="309"/>
        <v>1.3</v>
      </c>
      <c r="BA79" s="229">
        <f t="shared" si="310"/>
        <v>1.1828658810293327</v>
      </c>
      <c r="BB79" s="229">
        <f t="shared" si="311"/>
        <v>1.3503042141776613</v>
      </c>
      <c r="BC79" s="229">
        <f t="shared" si="312"/>
        <v>9.9753261616521205E-2</v>
      </c>
      <c r="BD79" s="229">
        <f t="shared" si="313"/>
        <v>7.3874657702428337</v>
      </c>
      <c r="BF79" s="230">
        <f t="shared" si="314"/>
        <v>11.73</v>
      </c>
      <c r="BG79" s="230">
        <f t="shared" si="315"/>
        <v>6.27</v>
      </c>
      <c r="BH79" s="230">
        <f t="shared" si="316"/>
        <v>5.3223384615384619</v>
      </c>
      <c r="BI79" s="230">
        <f t="shared" si="235"/>
        <v>7.77411282051282</v>
      </c>
      <c r="BJ79" s="230">
        <f t="shared" si="236"/>
        <v>3.45851097012762</v>
      </c>
      <c r="BK79" s="230">
        <f t="shared" si="317"/>
        <v>44.487532532354976</v>
      </c>
      <c r="BM79" s="227">
        <f t="shared" si="318"/>
        <v>31.73</v>
      </c>
      <c r="BN79" s="227">
        <f t="shared" si="319"/>
        <v>23.478753433322275</v>
      </c>
      <c r="BO79" s="227">
        <f t="shared" si="320"/>
        <v>22.702858304558109</v>
      </c>
      <c r="BP79" s="227">
        <f t="shared" si="321"/>
        <v>23.478753433322275</v>
      </c>
      <c r="BQ79" s="227">
        <f t="shared" si="322"/>
        <v>15.17</v>
      </c>
      <c r="BR79" s="227">
        <f t="shared" si="323"/>
        <v>15.453994493762712</v>
      </c>
      <c r="BS79" s="227">
        <f t="shared" si="324"/>
        <v>19.95</v>
      </c>
      <c r="BT79" s="227">
        <f t="shared" si="237"/>
        <v>21.709194237852195</v>
      </c>
      <c r="BU79" s="227">
        <f t="shared" si="238"/>
        <v>5.6664207600273278</v>
      </c>
      <c r="BV79" s="227">
        <f t="shared" si="325"/>
        <v>26.101478930744214</v>
      </c>
      <c r="BX79" s="231">
        <f t="shared" si="326"/>
        <v>0.31768528631080206</v>
      </c>
      <c r="BY79" s="231">
        <f t="shared" si="327"/>
        <v>0.29187046393742389</v>
      </c>
      <c r="BZ79" s="231">
        <f t="shared" si="328"/>
        <v>0.31876267758695187</v>
      </c>
      <c r="CA79" s="231">
        <f t="shared" si="329"/>
        <v>0.24</v>
      </c>
      <c r="CB79" s="231">
        <f t="shared" si="330"/>
        <v>0.36113618612575793</v>
      </c>
      <c r="CC79" s="231">
        <f t="shared" si="331"/>
        <v>0.30056157322508931</v>
      </c>
      <c r="CD79" s="231">
        <f t="shared" si="332"/>
        <v>0.48</v>
      </c>
      <c r="CE79" s="231">
        <f t="shared" si="333"/>
        <v>0.42267935831565751</v>
      </c>
      <c r="CF79" s="231">
        <f t="shared" si="334"/>
        <v>0.34158694318771032</v>
      </c>
      <c r="CG79" s="231">
        <f t="shared" si="335"/>
        <v>7.7167054039891644E-2</v>
      </c>
      <c r="CH79" s="231">
        <f t="shared" si="239"/>
        <v>22.590750489396331</v>
      </c>
      <c r="CJ79" s="232">
        <f t="shared" si="336"/>
        <v>1.4504622231578039</v>
      </c>
      <c r="CK79" s="232">
        <f t="shared" si="337"/>
        <v>1.4504622231578039</v>
      </c>
      <c r="CL79" s="232">
        <f t="shared" si="338"/>
        <v>2.1</v>
      </c>
      <c r="CM79" s="232">
        <f t="shared" si="339"/>
        <v>1.8293558125120293</v>
      </c>
      <c r="CN79" s="232">
        <f t="shared" si="340"/>
        <v>1.7657452634133497</v>
      </c>
      <c r="CO79" s="232">
        <f t="shared" si="341"/>
        <v>1.5067573812602721</v>
      </c>
      <c r="CP79" s="232">
        <f t="shared" si="342"/>
        <v>1.4513758558976932</v>
      </c>
      <c r="CQ79" s="232">
        <f t="shared" si="343"/>
        <v>1.8433233598062906</v>
      </c>
      <c r="CR79" s="232">
        <f t="shared" si="344"/>
        <v>3.9332439792866118</v>
      </c>
      <c r="CS79" s="232">
        <f t="shared" si="345"/>
        <v>1.41</v>
      </c>
      <c r="CT79" s="232">
        <f t="shared" si="346"/>
        <v>1.3516387633220004</v>
      </c>
      <c r="CU79" s="232">
        <f t="shared" si="347"/>
        <v>1.8265786238012593</v>
      </c>
      <c r="CV79" s="232">
        <f t="shared" si="348"/>
        <v>0.73769115654390804</v>
      </c>
      <c r="CW79" s="232">
        <f t="shared" si="240"/>
        <v>40.386498940226971</v>
      </c>
      <c r="CY79" s="229">
        <f t="shared" si="241"/>
        <v>1.19</v>
      </c>
      <c r="CZ79" s="229">
        <f t="shared" si="242"/>
        <v>0.78727892252417397</v>
      </c>
      <c r="DA79" s="229">
        <f t="shared" si="243"/>
        <v>0.48855547255530518</v>
      </c>
      <c r="DB79" s="229">
        <f t="shared" si="244"/>
        <v>1.1798077144756309</v>
      </c>
      <c r="DC79" s="229">
        <f t="shared" si="245"/>
        <v>0.57999999999999996</v>
      </c>
      <c r="DD79" s="229">
        <f t="shared" si="246"/>
        <v>0.54955504700611346</v>
      </c>
      <c r="DE79" s="229">
        <f t="shared" si="247"/>
        <v>0.8</v>
      </c>
      <c r="DF79" s="229">
        <f t="shared" si="248"/>
        <v>0.79645673665160344</v>
      </c>
      <c r="DG79" s="229">
        <f t="shared" si="249"/>
        <v>0.28998511770336727</v>
      </c>
      <c r="DH79" s="229">
        <f t="shared" si="250"/>
        <v>36.409399827854848</v>
      </c>
      <c r="DJ79" s="234">
        <f t="shared" si="349"/>
        <v>0.11619163850986398</v>
      </c>
      <c r="DK79" s="234">
        <f t="shared" si="350"/>
        <v>0.15701572771603242</v>
      </c>
      <c r="DL79" s="234">
        <f t="shared" si="351"/>
        <v>0.10987051649943483</v>
      </c>
      <c r="DM79" s="234">
        <f t="shared" si="251"/>
        <v>0.12769262757511043</v>
      </c>
      <c r="DN79" s="234">
        <f t="shared" si="252"/>
        <v>2.5590472783314985E-2</v>
      </c>
      <c r="DO79" s="234">
        <f t="shared" si="253"/>
        <v>20.040681493739598</v>
      </c>
      <c r="DQ79" s="229">
        <f t="shared" si="352"/>
        <v>3.49</v>
      </c>
      <c r="DR79" s="229">
        <f t="shared" si="353"/>
        <v>3.7216100476191278</v>
      </c>
      <c r="DS79" s="229">
        <f t="shared" si="354"/>
        <v>2.9149506585375762</v>
      </c>
      <c r="DT79" s="229">
        <f t="shared" si="355"/>
        <v>2.6268754686803719</v>
      </c>
      <c r="DU79" s="229">
        <f t="shared" si="356"/>
        <v>3.7216100476191278</v>
      </c>
      <c r="DV79" s="229">
        <f t="shared" si="357"/>
        <v>1.97</v>
      </c>
      <c r="DW79" s="229">
        <f t="shared" si="358"/>
        <v>2.8725000000000001</v>
      </c>
      <c r="DX79" s="229">
        <f t="shared" si="359"/>
        <v>3.1495571512262193</v>
      </c>
      <c r="DY79" s="229">
        <f t="shared" si="254"/>
        <v>3.0583879217103025</v>
      </c>
      <c r="DZ79" s="229">
        <f t="shared" si="255"/>
        <v>0.59764392459953919</v>
      </c>
      <c r="EA79" s="229">
        <f t="shared" si="256"/>
        <v>19.541141931574415</v>
      </c>
      <c r="EC79" s="235">
        <f t="shared" si="360"/>
        <v>0.21061392552736372</v>
      </c>
      <c r="ED79" s="235">
        <f t="shared" si="361"/>
        <v>0.15</v>
      </c>
      <c r="EE79" s="235">
        <f t="shared" si="362"/>
        <v>0.17271730048763567</v>
      </c>
      <c r="EF79" s="235">
        <f t="shared" si="363"/>
        <v>0.13865283479772483</v>
      </c>
      <c r="EG79" s="235">
        <f t="shared" si="364"/>
        <v>0.16799601520318105</v>
      </c>
      <c r="EH79" s="235">
        <f t="shared" si="365"/>
        <v>3.1746157849612662E-2</v>
      </c>
      <c r="EI79" s="235">
        <f t="shared" si="257"/>
        <v>18.896970747322548</v>
      </c>
      <c r="EK79" s="236">
        <f t="shared" si="366"/>
        <v>20.705381659388649</v>
      </c>
      <c r="EL79" s="236">
        <f t="shared" si="367"/>
        <v>32.9893543558955</v>
      </c>
      <c r="EM79" s="236">
        <f t="shared" si="368"/>
        <v>33.696991170475485</v>
      </c>
      <c r="EN79" s="236">
        <f t="shared" si="369"/>
        <v>14.4</v>
      </c>
      <c r="EO79" s="236">
        <f t="shared" si="370"/>
        <v>32.113372620659582</v>
      </c>
      <c r="EP79" s="236">
        <f t="shared" si="371"/>
        <v>33.696991170475485</v>
      </c>
      <c r="EQ79" s="236">
        <f t="shared" si="372"/>
        <v>31.852270294316494</v>
      </c>
      <c r="ER79" s="236">
        <f t="shared" si="373"/>
        <v>28.493480181601601</v>
      </c>
      <c r="ES79" s="236">
        <f t="shared" si="374"/>
        <v>7.7247620494771878</v>
      </c>
      <c r="ET79" s="236">
        <f t="shared" si="258"/>
        <v>27.110630222225751</v>
      </c>
      <c r="EV79" s="238">
        <f t="shared" si="375"/>
        <v>1.5701572771603244E-2</v>
      </c>
      <c r="EW79" s="238">
        <f t="shared" si="376"/>
        <v>1.5701572771603244E-2</v>
      </c>
      <c r="EX79" s="238" t="e">
        <f t="shared" si="377"/>
        <v>#DIV/0!</v>
      </c>
      <c r="EY79" s="238" t="e">
        <f t="shared" si="259"/>
        <v>#DIV/0!</v>
      </c>
      <c r="FA79" s="240">
        <f t="shared" si="378"/>
        <v>0.48674875591970046</v>
      </c>
      <c r="FB79" s="240">
        <f t="shared" si="379"/>
        <v>0.65397050593727502</v>
      </c>
      <c r="FC79" s="240">
        <f t="shared" si="380"/>
        <v>0.57035963092848774</v>
      </c>
      <c r="FD79" s="240">
        <f t="shared" si="381"/>
        <v>0.1182436333993087</v>
      </c>
      <c r="FE79" s="240">
        <f t="shared" si="260"/>
        <v>20.731416984547106</v>
      </c>
      <c r="FG79" s="236">
        <f t="shared" si="382"/>
        <v>1.2</v>
      </c>
      <c r="FH79" s="236">
        <f t="shared" si="383"/>
        <v>1.3153419159132362</v>
      </c>
      <c r="FI79" s="236">
        <f t="shared" si="384"/>
        <v>1.2953797536572675</v>
      </c>
      <c r="FJ79" s="236">
        <f t="shared" si="385"/>
        <v>0.92</v>
      </c>
      <c r="FK79" s="236">
        <f t="shared" si="386"/>
        <v>1.2561258217282594</v>
      </c>
      <c r="FL79" s="236">
        <f t="shared" si="387"/>
        <v>0.9</v>
      </c>
      <c r="FM79" s="236">
        <f t="shared" si="388"/>
        <v>1.1478079152164606</v>
      </c>
      <c r="FN79" s="236">
        <f t="shared" si="389"/>
        <v>0.1884712607028543</v>
      </c>
      <c r="FO79" s="236">
        <f t="shared" si="261"/>
        <v>16.420104636350345</v>
      </c>
      <c r="FQ79" s="227">
        <f t="shared" si="390"/>
        <v>0.32</v>
      </c>
      <c r="FR79" s="227">
        <f t="shared" si="391"/>
        <v>0.32892011080438532</v>
      </c>
      <c r="FS79" s="227">
        <f t="shared" si="392"/>
        <v>0.32892011080438532</v>
      </c>
      <c r="FT79" s="227">
        <f t="shared" si="393"/>
        <v>0.24</v>
      </c>
      <c r="FU79" s="227">
        <f t="shared" si="394"/>
        <v>0.32714226869635349</v>
      </c>
      <c r="FV79" s="227">
        <f t="shared" si="262"/>
        <v>0.3089964980610248</v>
      </c>
      <c r="FW79" s="227">
        <f t="shared" si="263"/>
        <v>3.8745204480847804E-2</v>
      </c>
      <c r="FX79" s="227">
        <f t="shared" si="264"/>
        <v>12.539043233168254</v>
      </c>
      <c r="FZ79" s="230">
        <f t="shared" si="395"/>
        <v>1.6486651410183404</v>
      </c>
      <c r="GA79" s="230">
        <f t="shared" si="396"/>
        <v>2.4700000000000002</v>
      </c>
      <c r="GB79" s="230">
        <f t="shared" si="397"/>
        <v>3.532762826946382</v>
      </c>
      <c r="GC79" s="230">
        <f t="shared" si="398"/>
        <v>2.550475989321574</v>
      </c>
      <c r="GD79" s="230">
        <f t="shared" si="399"/>
        <v>0.94462337001199426</v>
      </c>
      <c r="GE79" s="230">
        <f t="shared" si="265"/>
        <v>37.037140281538733</v>
      </c>
      <c r="GG79" s="231">
        <f t="shared" si="400"/>
        <v>0.10991100940122268</v>
      </c>
      <c r="GH79" s="231">
        <f t="shared" si="401"/>
        <v>0.05</v>
      </c>
      <c r="GI79" s="231">
        <f t="shared" si="402"/>
        <v>0.05</v>
      </c>
      <c r="GJ79" s="231">
        <f t="shared" si="403"/>
        <v>0.12184420470764115</v>
      </c>
      <c r="GK79" s="245">
        <f t="shared" si="404"/>
        <v>7.394806823588039E-2</v>
      </c>
      <c r="GL79" s="231">
        <f t="shared" si="405"/>
        <v>4.1479270927671168E-2</v>
      </c>
      <c r="GM79" s="231">
        <f t="shared" si="266"/>
        <v>56.092433402533402</v>
      </c>
      <c r="GO79" s="246">
        <f t="shared" si="406"/>
        <v>0.18</v>
      </c>
      <c r="GP79" s="246">
        <f t="shared" si="407"/>
        <v>0.18056808687343728</v>
      </c>
      <c r="GQ79" s="247">
        <f t="shared" si="416"/>
        <v>0.18028404343671864</v>
      </c>
      <c r="GR79" s="246">
        <f t="shared" si="420"/>
        <v>4.0169808051057182E-4</v>
      </c>
      <c r="GS79" s="246">
        <f t="shared" si="267"/>
        <v>0.22281399554452055</v>
      </c>
      <c r="GU79" s="249">
        <f t="shared" si="408"/>
        <v>2.2241277830975993E-2</v>
      </c>
      <c r="GV79" s="249">
        <f t="shared" si="409"/>
        <v>2.2241277830975993E-2</v>
      </c>
      <c r="GW79" s="249" t="e">
        <f t="shared" si="410"/>
        <v>#DIV/0!</v>
      </c>
      <c r="GX79" s="249" t="e">
        <f t="shared" si="268"/>
        <v>#DIV/0!</v>
      </c>
      <c r="GZ79" s="240">
        <f t="shared" si="411"/>
        <v>2.3552359157404865E-2</v>
      </c>
      <c r="HA79" s="240">
        <f t="shared" si="412"/>
        <v>2.3552359157404865E-2</v>
      </c>
      <c r="HB79" s="240" t="e">
        <f t="shared" si="413"/>
        <v>#DIV/0!</v>
      </c>
      <c r="HC79" s="240" t="e">
        <f t="shared" si="269"/>
        <v>#DIV/0!</v>
      </c>
      <c r="HE79" s="234">
        <f t="shared" si="414"/>
        <v>9.2994157991039272E-2</v>
      </c>
      <c r="HF79" s="234">
        <f t="shared" si="415"/>
        <v>9.2994157991039272E-2</v>
      </c>
      <c r="HG79" s="251">
        <f t="shared" si="418"/>
        <v>9.2994157991039272E-2</v>
      </c>
      <c r="HH79" s="234">
        <f t="shared" si="421"/>
        <v>0</v>
      </c>
      <c r="HI79" s="234">
        <f t="shared" si="270"/>
        <v>0</v>
      </c>
    </row>
    <row r="80" spans="2:217" ht="15.6" x14ac:dyDescent="0.25">
      <c r="B80">
        <v>76</v>
      </c>
      <c r="C80" s="124">
        <f t="shared" si="271"/>
        <v>77.44291094574146</v>
      </c>
      <c r="D80" s="124">
        <f t="shared" si="272"/>
        <v>166.81557236717072</v>
      </c>
      <c r="E80" s="29">
        <f t="shared" si="273"/>
        <v>2.0908892058991038</v>
      </c>
      <c r="F80" s="29">
        <f t="shared" si="274"/>
        <v>1.91283391249809</v>
      </c>
      <c r="G80" s="29">
        <f t="shared" si="232"/>
        <v>1.8633955786203036</v>
      </c>
      <c r="H80" s="29">
        <f t="shared" si="275"/>
        <v>1.9120199406204312</v>
      </c>
      <c r="I80" s="29">
        <f t="shared" si="276"/>
        <v>1.9364466144864103</v>
      </c>
      <c r="J80" s="29">
        <f t="shared" si="277"/>
        <v>1.9120199406204312</v>
      </c>
      <c r="K80" s="29">
        <f t="shared" si="278"/>
        <v>1.8943397790958503</v>
      </c>
      <c r="L80" s="125">
        <f t="shared" si="233"/>
        <v>1.9317064245486599</v>
      </c>
      <c r="M80" s="126">
        <f t="shared" si="234"/>
        <v>7.3660880790467176E-2</v>
      </c>
      <c r="N80" s="126">
        <f t="shared" si="279"/>
        <v>3.813254429056316</v>
      </c>
      <c r="P80" s="138">
        <f t="shared" si="280"/>
        <v>405.65834915521862</v>
      </c>
      <c r="Q80" s="138">
        <f t="shared" si="281"/>
        <v>325.79239999999999</v>
      </c>
      <c r="R80" s="138">
        <f t="shared" si="282"/>
        <v>405.65834915521862</v>
      </c>
      <c r="S80" s="138">
        <f t="shared" si="283"/>
        <v>329.32946653505428</v>
      </c>
      <c r="T80" s="138">
        <f t="shared" si="284"/>
        <v>450.52402644637641</v>
      </c>
      <c r="U80" s="138">
        <f t="shared" si="285"/>
        <v>405.65834915521862</v>
      </c>
      <c r="V80" s="138">
        <f t="shared" si="286"/>
        <v>249.53088</v>
      </c>
      <c r="W80" s="138">
        <f t="shared" si="287"/>
        <v>367.45026006386945</v>
      </c>
      <c r="X80" s="138">
        <f t="shared" si="288"/>
        <v>68.76818217270214</v>
      </c>
      <c r="Y80" s="138">
        <f t="shared" si="289"/>
        <v>18.714963532955181</v>
      </c>
      <c r="AA80" s="227">
        <f t="shared" si="228"/>
        <v>0.44663150239999999</v>
      </c>
      <c r="AB80" s="227">
        <f t="shared" si="229"/>
        <v>0.41068289786223278</v>
      </c>
      <c r="AC80" s="227">
        <f t="shared" si="230"/>
        <v>0.47</v>
      </c>
      <c r="AD80" s="227">
        <f t="shared" si="231"/>
        <v>0.44663150239999999</v>
      </c>
      <c r="AE80" s="227">
        <f t="shared" si="290"/>
        <v>0.44348647566555821</v>
      </c>
      <c r="AF80" s="227">
        <f t="shared" si="291"/>
        <v>2.4486894968891473E-2</v>
      </c>
      <c r="AG80" s="227">
        <f t="shared" si="292"/>
        <v>5.5214524709334123</v>
      </c>
      <c r="AI80" s="228">
        <f t="shared" si="293"/>
        <v>4.2891779656765054</v>
      </c>
      <c r="AJ80" s="228">
        <f t="shared" si="294"/>
        <v>4.2891779656765054</v>
      </c>
      <c r="AK80" s="228">
        <f t="shared" si="295"/>
        <v>4.2891779656765054</v>
      </c>
      <c r="AL80" s="228">
        <f t="shared" si="296"/>
        <v>6.9445303240280207</v>
      </c>
      <c r="AM80" s="228">
        <f t="shared" si="297"/>
        <v>4.28</v>
      </c>
      <c r="AN80" s="228">
        <f t="shared" si="298"/>
        <v>5.033789211473195</v>
      </c>
      <c r="AO80" s="228">
        <f t="shared" si="299"/>
        <v>4.4135274427353162</v>
      </c>
      <c r="AP80" s="228">
        <f t="shared" si="300"/>
        <v>4.7913401250380074</v>
      </c>
      <c r="AQ80" s="228">
        <f t="shared" si="301"/>
        <v>0.98790360881062356</v>
      </c>
      <c r="AR80" s="228">
        <f t="shared" si="302"/>
        <v>20.618523899986897</v>
      </c>
      <c r="AT80" s="229">
        <f t="shared" si="303"/>
        <v>1.4266619307560009</v>
      </c>
      <c r="AU80" s="229">
        <f t="shared" si="304"/>
        <v>1.47</v>
      </c>
      <c r="AV80" s="229">
        <f t="shared" si="305"/>
        <v>1.2789526021352451</v>
      </c>
      <c r="AW80" s="229">
        <f t="shared" si="306"/>
        <v>1.4266619307560009</v>
      </c>
      <c r="AX80" s="229">
        <f t="shared" si="307"/>
        <v>1.4552391033178851</v>
      </c>
      <c r="AY80" s="229">
        <f t="shared" si="308"/>
        <v>1.3</v>
      </c>
      <c r="AZ80" s="229">
        <f t="shared" si="309"/>
        <v>1.3</v>
      </c>
      <c r="BA80" s="229">
        <f t="shared" si="310"/>
        <v>1.1809868252198301</v>
      </c>
      <c r="BB80" s="229">
        <f t="shared" si="311"/>
        <v>1.3548127990231205</v>
      </c>
      <c r="BC80" s="229">
        <f t="shared" si="312"/>
        <v>0.10396239281501041</v>
      </c>
      <c r="BD80" s="229">
        <f t="shared" si="313"/>
        <v>7.673561461035197</v>
      </c>
      <c r="BF80" s="230">
        <f t="shared" si="314"/>
        <v>11.73</v>
      </c>
      <c r="BG80" s="230">
        <f t="shared" si="315"/>
        <v>6.27</v>
      </c>
      <c r="BH80" s="230">
        <f t="shared" si="316"/>
        <v>5.3051076923076925</v>
      </c>
      <c r="BI80" s="230">
        <f t="shared" si="235"/>
        <v>7.7683692307692311</v>
      </c>
      <c r="BJ80" s="230">
        <f t="shared" si="236"/>
        <v>3.4646274049525037</v>
      </c>
      <c r="BK80" s="230">
        <f t="shared" si="317"/>
        <v>44.599159772551559</v>
      </c>
      <c r="BM80" s="227">
        <f t="shared" si="318"/>
        <v>31.73</v>
      </c>
      <c r="BN80" s="227">
        <f t="shared" si="319"/>
        <v>23.283146035885409</v>
      </c>
      <c r="BO80" s="227">
        <f t="shared" si="320"/>
        <v>22.597980501457183</v>
      </c>
      <c r="BP80" s="227">
        <f t="shared" si="321"/>
        <v>23.283146035885409</v>
      </c>
      <c r="BQ80" s="227">
        <f t="shared" si="322"/>
        <v>15.17</v>
      </c>
      <c r="BR80" s="227">
        <f t="shared" si="323"/>
        <v>14.951698546648876</v>
      </c>
      <c r="BS80" s="227">
        <f t="shared" si="324"/>
        <v>19.95</v>
      </c>
      <c r="BT80" s="227">
        <f t="shared" si="237"/>
        <v>21.566567302839555</v>
      </c>
      <c r="BU80" s="227">
        <f t="shared" si="238"/>
        <v>5.7378613064956054</v>
      </c>
      <c r="BV80" s="227">
        <f t="shared" si="325"/>
        <v>26.605352747723238</v>
      </c>
      <c r="BX80" s="231">
        <f t="shared" si="326"/>
        <v>0.31594609882550706</v>
      </c>
      <c r="BY80" s="231">
        <f t="shared" si="327"/>
        <v>0.28773518178597113</v>
      </c>
      <c r="BZ80" s="231">
        <f t="shared" si="328"/>
        <v>0.3156731762807623</v>
      </c>
      <c r="CA80" s="231">
        <f t="shared" si="329"/>
        <v>0.24</v>
      </c>
      <c r="CB80" s="231">
        <f t="shared" si="330"/>
        <v>0.35623740014014482</v>
      </c>
      <c r="CC80" s="231">
        <f t="shared" si="331"/>
        <v>0.29903022808670304</v>
      </c>
      <c r="CD80" s="231">
        <f t="shared" si="332"/>
        <v>0.48</v>
      </c>
      <c r="CE80" s="231">
        <f t="shared" si="333"/>
        <v>0.42362774830891614</v>
      </c>
      <c r="CF80" s="231">
        <f t="shared" si="334"/>
        <v>0.33978122917850051</v>
      </c>
      <c r="CG80" s="231">
        <f t="shared" si="335"/>
        <v>7.7861955236453478E-2</v>
      </c>
      <c r="CH80" s="231">
        <f t="shared" si="239"/>
        <v>22.915319785234374</v>
      </c>
      <c r="CJ80" s="232">
        <f t="shared" si="336"/>
        <v>1.4400988112837025</v>
      </c>
      <c r="CK80" s="232">
        <f t="shared" si="337"/>
        <v>1.4400988112837025</v>
      </c>
      <c r="CL80" s="232">
        <f t="shared" si="338"/>
        <v>2.1</v>
      </c>
      <c r="CM80" s="232">
        <f t="shared" si="339"/>
        <v>1.804526858742902</v>
      </c>
      <c r="CN80" s="232">
        <f t="shared" si="340"/>
        <v>1.7357421993752902</v>
      </c>
      <c r="CO80" s="232">
        <f t="shared" si="341"/>
        <v>1.4907910065475789</v>
      </c>
      <c r="CP80" s="232">
        <f t="shared" si="342"/>
        <v>1.4410059162062976</v>
      </c>
      <c r="CQ80" s="232">
        <f t="shared" si="343"/>
        <v>1.8193326287567022</v>
      </c>
      <c r="CR80" s="232">
        <f t="shared" si="344"/>
        <v>3.8798898383816471</v>
      </c>
      <c r="CS80" s="232">
        <f t="shared" si="345"/>
        <v>1.41</v>
      </c>
      <c r="CT80" s="232">
        <f t="shared" si="346"/>
        <v>1.3464917386849062</v>
      </c>
      <c r="CU80" s="232">
        <f t="shared" si="347"/>
        <v>1.8098161644784303</v>
      </c>
      <c r="CV80" s="232">
        <f t="shared" si="348"/>
        <v>0.72530817918895174</v>
      </c>
      <c r="CW80" s="232">
        <f t="shared" si="240"/>
        <v>40.076345510925293</v>
      </c>
      <c r="CY80" s="229">
        <f t="shared" si="241"/>
        <v>1.19</v>
      </c>
      <c r="CZ80" s="229">
        <f t="shared" si="242"/>
        <v>0.77744660075189143</v>
      </c>
      <c r="DA80" s="229">
        <f t="shared" si="243"/>
        <v>0.48954739461987162</v>
      </c>
      <c r="DB80" s="229">
        <f t="shared" si="244"/>
        <v>1.1675562408541644</v>
      </c>
      <c r="DC80" s="229">
        <f t="shared" si="245"/>
        <v>0.57999999999999996</v>
      </c>
      <c r="DD80" s="229">
        <f t="shared" si="246"/>
        <v>0.54210037662019028</v>
      </c>
      <c r="DE80" s="229">
        <f t="shared" si="247"/>
        <v>0.8</v>
      </c>
      <c r="DF80" s="229">
        <f t="shared" si="248"/>
        <v>0.79237865897801674</v>
      </c>
      <c r="DG80" s="229">
        <f t="shared" si="249"/>
        <v>0.28826859236437613</v>
      </c>
      <c r="DH80" s="229">
        <f t="shared" si="250"/>
        <v>36.380156014824436</v>
      </c>
      <c r="DJ80" s="234">
        <f t="shared" si="349"/>
        <v>0.11461550819969736</v>
      </c>
      <c r="DK80" s="234">
        <f t="shared" si="350"/>
        <v>0.15488582189148292</v>
      </c>
      <c r="DL80" s="234">
        <f t="shared" si="351"/>
        <v>0.10925929804435289</v>
      </c>
      <c r="DM80" s="234">
        <f t="shared" si="251"/>
        <v>0.12625354271184439</v>
      </c>
      <c r="DN80" s="234">
        <f t="shared" si="252"/>
        <v>2.4940485261370333E-2</v>
      </c>
      <c r="DO80" s="234">
        <f t="shared" si="253"/>
        <v>19.754285484323727</v>
      </c>
      <c r="DQ80" s="229">
        <f t="shared" si="352"/>
        <v>3.49</v>
      </c>
      <c r="DR80" s="229">
        <f t="shared" si="353"/>
        <v>3.699360450419535</v>
      </c>
      <c r="DS80" s="229">
        <f t="shared" si="354"/>
        <v>2.8975596368229897</v>
      </c>
      <c r="DT80" s="229">
        <f t="shared" si="355"/>
        <v>2.5991340533400789</v>
      </c>
      <c r="DU80" s="229">
        <f t="shared" si="356"/>
        <v>3.699360450419535</v>
      </c>
      <c r="DV80" s="229">
        <f t="shared" si="357"/>
        <v>1.97</v>
      </c>
      <c r="DW80" s="229">
        <f t="shared" si="358"/>
        <v>2.9108000000000001</v>
      </c>
      <c r="DX80" s="229">
        <f t="shared" si="359"/>
        <v>3.0902366455594867</v>
      </c>
      <c r="DY80" s="229">
        <f t="shared" si="254"/>
        <v>3.0445564045702032</v>
      </c>
      <c r="DZ80" s="229">
        <f t="shared" si="255"/>
        <v>0.5916821928218664</v>
      </c>
      <c r="EA80" s="229">
        <f t="shared" si="256"/>
        <v>19.434101859098043</v>
      </c>
      <c r="EC80" s="235">
        <f t="shared" si="360"/>
        <v>0.20821633933218564</v>
      </c>
      <c r="ED80" s="235">
        <f t="shared" si="361"/>
        <v>0.15</v>
      </c>
      <c r="EE80" s="235">
        <f t="shared" si="362"/>
        <v>0.17037440408063123</v>
      </c>
      <c r="EF80" s="235">
        <f t="shared" si="363"/>
        <v>0.13793665378062223</v>
      </c>
      <c r="EG80" s="235">
        <f t="shared" si="364"/>
        <v>0.16663184929835978</v>
      </c>
      <c r="EH80" s="235">
        <f t="shared" si="365"/>
        <v>3.0785868969145525E-2</v>
      </c>
      <c r="EI80" s="235">
        <f t="shared" si="257"/>
        <v>18.475380966349608</v>
      </c>
      <c r="EK80" s="236">
        <f t="shared" si="366"/>
        <v>20.705381659388649</v>
      </c>
      <c r="EL80" s="236">
        <f t="shared" si="367"/>
        <v>32.276470583782817</v>
      </c>
      <c r="EM80" s="236">
        <f t="shared" si="368"/>
        <v>32.968815713772024</v>
      </c>
      <c r="EN80" s="236">
        <f t="shared" si="369"/>
        <v>14.4</v>
      </c>
      <c r="EO80" s="236">
        <f t="shared" si="370"/>
        <v>31.686134152681774</v>
      </c>
      <c r="EP80" s="236">
        <f t="shared" si="371"/>
        <v>32.968815713772024</v>
      </c>
      <c r="EQ80" s="236">
        <f t="shared" si="372"/>
        <v>30.961199143464381</v>
      </c>
      <c r="ER80" s="236">
        <f t="shared" si="373"/>
        <v>27.995259566694525</v>
      </c>
      <c r="ES80" s="236">
        <f t="shared" si="374"/>
        <v>7.395877732909331</v>
      </c>
      <c r="ET80" s="236">
        <f t="shared" si="258"/>
        <v>26.41832169939256</v>
      </c>
      <c r="EV80" s="238">
        <f t="shared" si="375"/>
        <v>1.5488582189148293E-2</v>
      </c>
      <c r="EW80" s="238">
        <f t="shared" si="376"/>
        <v>1.5488582189148293E-2</v>
      </c>
      <c r="EX80" s="238" t="e">
        <f t="shared" si="377"/>
        <v>#DIV/0!</v>
      </c>
      <c r="EY80" s="238" t="e">
        <f t="shared" si="259"/>
        <v>#DIV/0!</v>
      </c>
      <c r="FA80" s="240">
        <f t="shared" si="378"/>
        <v>0.48014604786359705</v>
      </c>
      <c r="FB80" s="240">
        <f t="shared" si="379"/>
        <v>0.64509944817802645</v>
      </c>
      <c r="FC80" s="240">
        <f t="shared" si="380"/>
        <v>0.56262274802081169</v>
      </c>
      <c r="FD80" s="240">
        <f t="shared" si="381"/>
        <v>0.11663966794211314</v>
      </c>
      <c r="FE80" s="240">
        <f t="shared" si="260"/>
        <v>20.73141698454727</v>
      </c>
      <c r="FG80" s="236">
        <f t="shared" si="382"/>
        <v>1.2</v>
      </c>
      <c r="FH80" s="236">
        <f t="shared" si="383"/>
        <v>1.3022821366513906</v>
      </c>
      <c r="FI80" s="236">
        <f t="shared" si="384"/>
        <v>1.2778080306047341</v>
      </c>
      <c r="FJ80" s="236">
        <f t="shared" si="385"/>
        <v>0.92</v>
      </c>
      <c r="FK80" s="236">
        <f t="shared" si="386"/>
        <v>1.2390865751318634</v>
      </c>
      <c r="FL80" s="236">
        <f t="shared" si="387"/>
        <v>0.9</v>
      </c>
      <c r="FM80" s="236">
        <f t="shared" si="388"/>
        <v>1.1398627903979981</v>
      </c>
      <c r="FN80" s="236">
        <f t="shared" si="389"/>
        <v>0.18151836358220602</v>
      </c>
      <c r="FO80" s="236">
        <f t="shared" si="261"/>
        <v>15.924580143442221</v>
      </c>
      <c r="FQ80" s="227">
        <f t="shared" si="390"/>
        <v>0.32</v>
      </c>
      <c r="FR80" s="227">
        <f t="shared" si="391"/>
        <v>0.32708641455310017</v>
      </c>
      <c r="FS80" s="227">
        <f t="shared" si="392"/>
        <v>0.32708641455310017</v>
      </c>
      <c r="FT80" s="227">
        <f t="shared" si="393"/>
        <v>0.24</v>
      </c>
      <c r="FU80" s="227">
        <f t="shared" si="394"/>
        <v>0.32270460991090466</v>
      </c>
      <c r="FV80" s="227">
        <f t="shared" si="262"/>
        <v>0.307375487803421</v>
      </c>
      <c r="FW80" s="227">
        <f t="shared" si="263"/>
        <v>3.778510922373763E-2</v>
      </c>
      <c r="FX80" s="227">
        <f t="shared" si="264"/>
        <v>12.292817977698576</v>
      </c>
      <c r="FZ80" s="230">
        <f t="shared" si="395"/>
        <v>1.6263011298605707</v>
      </c>
      <c r="GA80" s="230">
        <f t="shared" si="396"/>
        <v>2.4700000000000002</v>
      </c>
      <c r="GB80" s="230">
        <f t="shared" si="397"/>
        <v>3.484852601144389</v>
      </c>
      <c r="GC80" s="230">
        <f t="shared" si="398"/>
        <v>2.5270512436683199</v>
      </c>
      <c r="GD80" s="230">
        <f t="shared" si="399"/>
        <v>0.9305882688686169</v>
      </c>
      <c r="GE80" s="230">
        <f t="shared" si="265"/>
        <v>36.825065229692598</v>
      </c>
      <c r="GG80" s="231">
        <f t="shared" si="400"/>
        <v>0.10842007532403804</v>
      </c>
      <c r="GH80" s="231">
        <f t="shared" si="401"/>
        <v>0.05</v>
      </c>
      <c r="GI80" s="231">
        <f t="shared" si="402"/>
        <v>0.05</v>
      </c>
      <c r="GJ80" s="231">
        <f t="shared" si="403"/>
        <v>0.12019139778779074</v>
      </c>
      <c r="GK80" s="245">
        <f t="shared" si="404"/>
        <v>7.339713259593024E-2</v>
      </c>
      <c r="GL80" s="231">
        <f t="shared" si="405"/>
        <v>4.0525022407577084E-2</v>
      </c>
      <c r="GM80" s="231">
        <f t="shared" si="266"/>
        <v>55.213359124909658</v>
      </c>
      <c r="GO80" s="246">
        <f t="shared" si="406"/>
        <v>0.18</v>
      </c>
      <c r="GP80" s="246">
        <f t="shared" si="407"/>
        <v>0.17811869517520534</v>
      </c>
      <c r="GQ80" s="247">
        <f t="shared" si="416"/>
        <v>0.17905934758760267</v>
      </c>
      <c r="GR80" s="246">
        <f t="shared" si="420"/>
        <v>1.3302833990912664E-3</v>
      </c>
      <c r="GS80" s="246">
        <f t="shared" si="267"/>
        <v>0.74292876468816627</v>
      </c>
      <c r="GU80" s="249">
        <f t="shared" si="408"/>
        <v>2.1939576670928555E-2</v>
      </c>
      <c r="GV80" s="249">
        <f t="shared" si="409"/>
        <v>2.1939576670928555E-2</v>
      </c>
      <c r="GW80" s="249" t="e">
        <f t="shared" si="410"/>
        <v>#DIV/0!</v>
      </c>
      <c r="GX80" s="249" t="e">
        <f t="shared" si="268"/>
        <v>#DIV/0!</v>
      </c>
      <c r="GZ80" s="240">
        <f t="shared" si="411"/>
        <v>2.3232873283722439E-2</v>
      </c>
      <c r="HA80" s="240">
        <f t="shared" si="412"/>
        <v>2.3232873283722439E-2</v>
      </c>
      <c r="HB80" s="240" t="e">
        <f t="shared" si="413"/>
        <v>#DIV/0!</v>
      </c>
      <c r="HC80" s="240" t="e">
        <f t="shared" si="269"/>
        <v>#DIV/0!</v>
      </c>
      <c r="HE80" s="234">
        <f t="shared" si="414"/>
        <v>9.1726864025432328E-2</v>
      </c>
      <c r="HF80" s="234">
        <f t="shared" si="415"/>
        <v>9.1726864025432328E-2</v>
      </c>
      <c r="HG80" s="251">
        <f t="shared" si="418"/>
        <v>9.1726864025432328E-2</v>
      </c>
      <c r="HH80" s="234">
        <f t="shared" si="421"/>
        <v>0</v>
      </c>
      <c r="HI80" s="234">
        <f t="shared" si="270"/>
        <v>0</v>
      </c>
    </row>
    <row r="81" spans="2:217" ht="15.6" x14ac:dyDescent="0.25">
      <c r="B81">
        <v>77</v>
      </c>
      <c r="C81" s="124">
        <f t="shared" si="271"/>
        <v>76.443103296682239</v>
      </c>
      <c r="D81" s="124">
        <f t="shared" si="272"/>
        <v>167.41991092997705</v>
      </c>
      <c r="E81" s="29">
        <f t="shared" si="273"/>
        <v>2.0834231149827107</v>
      </c>
      <c r="F81" s="29">
        <f t="shared" si="274"/>
        <v>1.9029776629382418</v>
      </c>
      <c r="G81" s="29">
        <f t="shared" si="232"/>
        <v>1.8579980651923846</v>
      </c>
      <c r="H81" s="29">
        <f t="shared" si="275"/>
        <v>1.9021678852093318</v>
      </c>
      <c r="I81" s="29">
        <f t="shared" si="276"/>
        <v>1.9263296020101661</v>
      </c>
      <c r="J81" s="29">
        <f t="shared" si="277"/>
        <v>1.902167885209332</v>
      </c>
      <c r="K81" s="29">
        <f t="shared" si="278"/>
        <v>1.8854779489224105</v>
      </c>
      <c r="L81" s="125">
        <f t="shared" si="233"/>
        <v>1.9229345949235113</v>
      </c>
      <c r="M81" s="126">
        <f t="shared" si="234"/>
        <v>7.3766112325889435E-2</v>
      </c>
      <c r="N81" s="126">
        <f t="shared" si="279"/>
        <v>3.8361217547715731</v>
      </c>
      <c r="P81" s="138">
        <f t="shared" si="280"/>
        <v>403.81626493393736</v>
      </c>
      <c r="Q81" s="138">
        <f t="shared" si="281"/>
        <v>325.79239999999999</v>
      </c>
      <c r="R81" s="138">
        <f t="shared" si="282"/>
        <v>403.81626493393736</v>
      </c>
      <c r="S81" s="138">
        <f t="shared" si="283"/>
        <v>325.97794179853162</v>
      </c>
      <c r="T81" s="138">
        <f t="shared" si="284"/>
        <v>445.97208074464004</v>
      </c>
      <c r="U81" s="138">
        <f t="shared" si="285"/>
        <v>403.81626493393736</v>
      </c>
      <c r="V81" s="138">
        <f t="shared" si="286"/>
        <v>249.18101999999996</v>
      </c>
      <c r="W81" s="138">
        <f t="shared" si="287"/>
        <v>365.48174819214051</v>
      </c>
      <c r="X81" s="138">
        <f t="shared" si="288"/>
        <v>67.760550978446858</v>
      </c>
      <c r="Y81" s="138">
        <f t="shared" si="289"/>
        <v>18.540064261382454</v>
      </c>
      <c r="AA81" s="227">
        <f t="shared" si="228"/>
        <v>0.44821968595</v>
      </c>
      <c r="AB81" s="227">
        <f t="shared" si="229"/>
        <v>0.41076291079812205</v>
      </c>
      <c r="AC81" s="227">
        <f t="shared" si="230"/>
        <v>0.47</v>
      </c>
      <c r="AD81" s="227">
        <f t="shared" si="231"/>
        <v>0.44821968595</v>
      </c>
      <c r="AE81" s="227">
        <f t="shared" si="290"/>
        <v>0.44430057067453049</v>
      </c>
      <c r="AF81" s="227">
        <f t="shared" si="291"/>
        <v>2.4603212708406558E-2</v>
      </c>
      <c r="AG81" s="227">
        <f t="shared" si="292"/>
        <v>5.5375154416422037</v>
      </c>
      <c r="AI81" s="228">
        <f t="shared" si="293"/>
        <v>4.2656569339161532</v>
      </c>
      <c r="AJ81" s="228">
        <f t="shared" si="294"/>
        <v>4.2656569339161532</v>
      </c>
      <c r="AK81" s="228">
        <f t="shared" si="295"/>
        <v>4.2656569339161532</v>
      </c>
      <c r="AL81" s="228">
        <f t="shared" si="296"/>
        <v>6.8549014160389383</v>
      </c>
      <c r="AM81" s="228">
        <f t="shared" si="297"/>
        <v>4.28</v>
      </c>
      <c r="AN81" s="228">
        <f t="shared" si="298"/>
        <v>4.9688017142843455</v>
      </c>
      <c r="AO81" s="228">
        <f t="shared" si="299"/>
        <v>4.3915151155627736</v>
      </c>
      <c r="AP81" s="228">
        <f t="shared" si="300"/>
        <v>4.7560270068049322</v>
      </c>
      <c r="AQ81" s="228">
        <f t="shared" si="301"/>
        <v>0.96015675083982444</v>
      </c>
      <c r="AR81" s="228">
        <f t="shared" si="302"/>
        <v>20.188210652841761</v>
      </c>
      <c r="AT81" s="229">
        <f t="shared" si="303"/>
        <v>1.426897239037354</v>
      </c>
      <c r="AU81" s="229">
        <f t="shared" si="304"/>
        <v>1.47</v>
      </c>
      <c r="AV81" s="229">
        <f t="shared" si="305"/>
        <v>1.2848170531627285</v>
      </c>
      <c r="AW81" s="229">
        <f t="shared" si="306"/>
        <v>1.426897239037354</v>
      </c>
      <c r="AX81" s="229">
        <f t="shared" si="307"/>
        <v>1.4894136308233037</v>
      </c>
      <c r="AY81" s="229">
        <f t="shared" si="308"/>
        <v>1.3</v>
      </c>
      <c r="AZ81" s="229">
        <f t="shared" si="309"/>
        <v>1.3</v>
      </c>
      <c r="BA81" s="229">
        <f t="shared" si="310"/>
        <v>1.1791107544070141</v>
      </c>
      <c r="BB81" s="229">
        <f t="shared" si="311"/>
        <v>1.3596419895584695</v>
      </c>
      <c r="BC81" s="229">
        <f t="shared" si="312"/>
        <v>0.10913342968196427</v>
      </c>
      <c r="BD81" s="229">
        <f t="shared" si="313"/>
        <v>8.0266298422722517</v>
      </c>
      <c r="BF81" s="230">
        <f t="shared" si="314"/>
        <v>11.73</v>
      </c>
      <c r="BG81" s="230">
        <f t="shared" si="315"/>
        <v>6.27</v>
      </c>
      <c r="BH81" s="230">
        <f t="shared" si="316"/>
        <v>5.2878769230769231</v>
      </c>
      <c r="BI81" s="230">
        <f t="shared" si="235"/>
        <v>7.7626256410256405</v>
      </c>
      <c r="BJ81" s="230">
        <f t="shared" si="236"/>
        <v>3.4707615753234382</v>
      </c>
      <c r="BK81" s="230">
        <f t="shared" si="317"/>
        <v>44.711180672946405</v>
      </c>
      <c r="BM81" s="227">
        <f t="shared" si="318"/>
        <v>31.73</v>
      </c>
      <c r="BN81" s="227">
        <f t="shared" si="319"/>
        <v>23.135275665242162</v>
      </c>
      <c r="BO81" s="227">
        <f t="shared" si="320"/>
        <v>22.495942102203529</v>
      </c>
      <c r="BP81" s="227">
        <f t="shared" si="321"/>
        <v>23.135275665242162</v>
      </c>
      <c r="BQ81" s="227">
        <f t="shared" si="322"/>
        <v>15.17</v>
      </c>
      <c r="BR81" s="227">
        <f t="shared" si="323"/>
        <v>14.464145891052203</v>
      </c>
      <c r="BS81" s="227">
        <f t="shared" si="324"/>
        <v>19.95</v>
      </c>
      <c r="BT81" s="227">
        <f t="shared" si="237"/>
        <v>21.440091331962865</v>
      </c>
      <c r="BU81" s="227">
        <f t="shared" si="238"/>
        <v>5.8158199963041</v>
      </c>
      <c r="BV81" s="227">
        <f t="shared" si="325"/>
        <v>27.125910548869175</v>
      </c>
      <c r="BX81" s="231">
        <f t="shared" si="326"/>
        <v>0.31499423455244757</v>
      </c>
      <c r="BY81" s="231">
        <f t="shared" si="327"/>
        <v>0.28382865722629969</v>
      </c>
      <c r="BZ81" s="231">
        <f t="shared" si="328"/>
        <v>0.31279431515527478</v>
      </c>
      <c r="CA81" s="231">
        <f t="shared" si="329"/>
        <v>0.24</v>
      </c>
      <c r="CB81" s="231">
        <f t="shared" si="330"/>
        <v>0.35163828291200411</v>
      </c>
      <c r="CC81" s="231">
        <f t="shared" si="331"/>
        <v>0.29826166533374199</v>
      </c>
      <c r="CD81" s="231">
        <f t="shared" si="332"/>
        <v>0.48</v>
      </c>
      <c r="CE81" s="231">
        <f t="shared" si="333"/>
        <v>0.42616594788297046</v>
      </c>
      <c r="CF81" s="231">
        <f t="shared" si="334"/>
        <v>0.33846038788284233</v>
      </c>
      <c r="CG81" s="231">
        <f t="shared" si="335"/>
        <v>7.8743528426279338E-2</v>
      </c>
      <c r="CH81" s="231">
        <f t="shared" si="239"/>
        <v>23.265212487298903</v>
      </c>
      <c r="CJ81" s="232">
        <f t="shared" si="336"/>
        <v>1.4322580341758273</v>
      </c>
      <c r="CK81" s="232">
        <f t="shared" si="337"/>
        <v>1.4322580341758273</v>
      </c>
      <c r="CL81" s="232">
        <f t="shared" si="338"/>
        <v>2.1</v>
      </c>
      <c r="CM81" s="232">
        <f t="shared" si="339"/>
        <v>1.7812178243972894</v>
      </c>
      <c r="CN81" s="232">
        <f t="shared" si="340"/>
        <v>1.7073902746060599</v>
      </c>
      <c r="CO81" s="232">
        <f t="shared" si="341"/>
        <v>1.4757573118682152</v>
      </c>
      <c r="CP81" s="232">
        <f t="shared" si="342"/>
        <v>1.4331602002654369</v>
      </c>
      <c r="CQ81" s="232">
        <f t="shared" si="343"/>
        <v>1.7967289705225093</v>
      </c>
      <c r="CR81" s="232">
        <f t="shared" si="344"/>
        <v>3.8297994751637798</v>
      </c>
      <c r="CS81" s="232">
        <f t="shared" si="345"/>
        <v>1.41</v>
      </c>
      <c r="CT81" s="232">
        <f t="shared" si="346"/>
        <v>1.3441834579326377</v>
      </c>
      <c r="CU81" s="232">
        <f t="shared" si="347"/>
        <v>1.7947957802825074</v>
      </c>
      <c r="CV81" s="232">
        <f t="shared" si="348"/>
        <v>0.71335613853041868</v>
      </c>
      <c r="CW81" s="232">
        <f t="shared" si="240"/>
        <v>39.745810992386765</v>
      </c>
      <c r="CY81" s="229">
        <f t="shared" si="241"/>
        <v>1.19</v>
      </c>
      <c r="CZ81" s="229">
        <f t="shared" si="242"/>
        <v>0.76842868132103437</v>
      </c>
      <c r="DA81" s="229">
        <f t="shared" si="243"/>
        <v>0.49219994132021233</v>
      </c>
      <c r="DB81" s="229">
        <f t="shared" si="244"/>
        <v>1.1559602854242508</v>
      </c>
      <c r="DC81" s="229">
        <f t="shared" si="245"/>
        <v>0.57999999999999996</v>
      </c>
      <c r="DD81" s="229">
        <f t="shared" si="246"/>
        <v>0.53510172307677573</v>
      </c>
      <c r="DE81" s="229">
        <f t="shared" si="247"/>
        <v>0.8</v>
      </c>
      <c r="DF81" s="229">
        <f t="shared" si="248"/>
        <v>0.7888129473060389</v>
      </c>
      <c r="DG81" s="229">
        <f t="shared" si="249"/>
        <v>0.28642637075019689</v>
      </c>
      <c r="DH81" s="229">
        <f t="shared" si="250"/>
        <v>36.311063570698579</v>
      </c>
      <c r="DJ81" s="234">
        <f t="shared" si="349"/>
        <v>0.11313579287908972</v>
      </c>
      <c r="DK81" s="234">
        <f t="shared" si="350"/>
        <v>0.15288620659336449</v>
      </c>
      <c r="DL81" s="234">
        <f t="shared" si="351"/>
        <v>0.10893923132051317</v>
      </c>
      <c r="DM81" s="234">
        <f t="shared" si="251"/>
        <v>0.12498707693098914</v>
      </c>
      <c r="DN81" s="234">
        <f t="shared" si="252"/>
        <v>2.4252295956615162E-2</v>
      </c>
      <c r="DO81" s="234">
        <f t="shared" si="253"/>
        <v>19.403842822891139</v>
      </c>
      <c r="DQ81" s="229">
        <f t="shared" si="352"/>
        <v>3.49</v>
      </c>
      <c r="DR81" s="229">
        <f t="shared" si="353"/>
        <v>3.6825269849137778</v>
      </c>
      <c r="DS81" s="229">
        <f t="shared" si="354"/>
        <v>2.884401892385267</v>
      </c>
      <c r="DT81" s="229">
        <f t="shared" si="355"/>
        <v>2.5733285067159568</v>
      </c>
      <c r="DU81" s="229">
        <f t="shared" si="356"/>
        <v>3.6825269849137778</v>
      </c>
      <c r="DV81" s="229">
        <f t="shared" si="357"/>
        <v>1.97</v>
      </c>
      <c r="DW81" s="229">
        <f t="shared" si="358"/>
        <v>2.9491000000000001</v>
      </c>
      <c r="DX81" s="229">
        <f t="shared" si="359"/>
        <v>3.0460993537408747</v>
      </c>
      <c r="DY81" s="229">
        <f t="shared" si="254"/>
        <v>3.0347479653337066</v>
      </c>
      <c r="DZ81" s="229">
        <f t="shared" si="255"/>
        <v>0.58835779294004964</v>
      </c>
      <c r="EA81" s="229">
        <f t="shared" si="256"/>
        <v>19.387369220143878</v>
      </c>
      <c r="EC81" s="235">
        <f t="shared" si="360"/>
        <v>0.20595391969378496</v>
      </c>
      <c r="ED81" s="235">
        <f t="shared" si="361"/>
        <v>0.15</v>
      </c>
      <c r="EE81" s="235">
        <f t="shared" si="362"/>
        <v>0.16817482725270094</v>
      </c>
      <c r="EF81" s="235">
        <f t="shared" si="363"/>
        <v>0.13756162303684416</v>
      </c>
      <c r="EG81" s="235">
        <f t="shared" si="364"/>
        <v>0.16542259249583252</v>
      </c>
      <c r="EH81" s="235">
        <f t="shared" si="365"/>
        <v>2.9801863806768681E-2</v>
      </c>
      <c r="EI81" s="235">
        <f t="shared" si="257"/>
        <v>18.015594700294322</v>
      </c>
      <c r="EK81" s="236">
        <f t="shared" si="366"/>
        <v>20.705381659388649</v>
      </c>
      <c r="EL81" s="236">
        <f t="shared" si="367"/>
        <v>31.525014899858249</v>
      </c>
      <c r="EM81" s="236">
        <f t="shared" si="368"/>
        <v>32.201240960018637</v>
      </c>
      <c r="EN81" s="236">
        <f t="shared" si="369"/>
        <v>14.4</v>
      </c>
      <c r="EO81" s="236">
        <f t="shared" si="370"/>
        <v>31.295872793702838</v>
      </c>
      <c r="EP81" s="236">
        <f t="shared" si="371"/>
        <v>32.201240960018637</v>
      </c>
      <c r="EQ81" s="236">
        <f t="shared" si="372"/>
        <v>30.131738639874268</v>
      </c>
      <c r="ER81" s="236">
        <f t="shared" si="373"/>
        <v>27.494355701837325</v>
      </c>
      <c r="ES81" s="236">
        <f t="shared" si="374"/>
        <v>7.0653543434946844</v>
      </c>
      <c r="ET81" s="236">
        <f t="shared" si="258"/>
        <v>25.697471947024159</v>
      </c>
      <c r="EV81" s="238">
        <f t="shared" si="375"/>
        <v>1.5288620659336449E-2</v>
      </c>
      <c r="EW81" s="238">
        <f t="shared" si="376"/>
        <v>1.5288620659336449E-2</v>
      </c>
      <c r="EX81" s="238" t="e">
        <f t="shared" si="377"/>
        <v>#DIV/0!</v>
      </c>
      <c r="EY81" s="238" t="e">
        <f t="shared" si="259"/>
        <v>#DIV/0!</v>
      </c>
      <c r="FA81" s="240">
        <f t="shared" si="378"/>
        <v>0.47394724043942987</v>
      </c>
      <c r="FB81" s="240">
        <f t="shared" si="379"/>
        <v>0.63677105046136306</v>
      </c>
      <c r="FC81" s="240">
        <f t="shared" si="380"/>
        <v>0.55535914545039644</v>
      </c>
      <c r="FD81" s="240">
        <f t="shared" si="381"/>
        <v>0.11513382020513954</v>
      </c>
      <c r="FE81" s="240">
        <f t="shared" si="260"/>
        <v>20.731416984547177</v>
      </c>
      <c r="FG81" s="236">
        <f t="shared" si="382"/>
        <v>1.2</v>
      </c>
      <c r="FH81" s="236">
        <f t="shared" si="383"/>
        <v>1.2910658018697936</v>
      </c>
      <c r="FI81" s="236">
        <f t="shared" si="384"/>
        <v>1.261311204395257</v>
      </c>
      <c r="FJ81" s="236">
        <f t="shared" si="385"/>
        <v>0.92</v>
      </c>
      <c r="FK81" s="236">
        <f t="shared" si="386"/>
        <v>1.2230896527469159</v>
      </c>
      <c r="FL81" s="236">
        <f t="shared" si="387"/>
        <v>0.9</v>
      </c>
      <c r="FM81" s="236">
        <f t="shared" si="388"/>
        <v>1.1325777765019944</v>
      </c>
      <c r="FN81" s="236">
        <f t="shared" si="389"/>
        <v>0.17533433137299101</v>
      </c>
      <c r="FO81" s="236">
        <f t="shared" si="261"/>
        <v>15.480996979696807</v>
      </c>
      <c r="FQ81" s="227">
        <f t="shared" si="390"/>
        <v>0.32</v>
      </c>
      <c r="FR81" s="227">
        <f t="shared" si="391"/>
        <v>0.32609128441345231</v>
      </c>
      <c r="FS81" s="227">
        <f t="shared" si="392"/>
        <v>0.32609128441345231</v>
      </c>
      <c r="FT81" s="227">
        <f t="shared" si="393"/>
        <v>0.24</v>
      </c>
      <c r="FU81" s="227">
        <f t="shared" si="394"/>
        <v>0.31853841143727485</v>
      </c>
      <c r="FV81" s="227">
        <f t="shared" si="262"/>
        <v>0.30614419605283588</v>
      </c>
      <c r="FW81" s="227">
        <f t="shared" si="263"/>
        <v>3.7136327287531322E-2</v>
      </c>
      <c r="FX81" s="227">
        <f t="shared" si="264"/>
        <v>12.130338502684582</v>
      </c>
      <c r="FZ81" s="230">
        <f t="shared" si="395"/>
        <v>1.6053051692303271</v>
      </c>
      <c r="GA81" s="230">
        <f t="shared" si="396"/>
        <v>2.4700000000000002</v>
      </c>
      <c r="GB81" s="230">
        <f t="shared" si="397"/>
        <v>3.4398721083456221</v>
      </c>
      <c r="GC81" s="230">
        <f t="shared" si="398"/>
        <v>2.5050590925253164</v>
      </c>
      <c r="GD81" s="230">
        <f t="shared" si="399"/>
        <v>0.91778582387190999</v>
      </c>
      <c r="GE81" s="230">
        <f t="shared" si="265"/>
        <v>36.63729237407739</v>
      </c>
      <c r="GG81" s="231">
        <f t="shared" si="400"/>
        <v>0.10702034461535513</v>
      </c>
      <c r="GH81" s="231">
        <f t="shared" si="401"/>
        <v>0.05</v>
      </c>
      <c r="GI81" s="231">
        <f t="shared" si="402"/>
        <v>0.05</v>
      </c>
      <c r="GJ81" s="231">
        <f t="shared" si="403"/>
        <v>0.11863969631645084</v>
      </c>
      <c r="GK81" s="245">
        <f t="shared" si="404"/>
        <v>7.2879898772150287E-2</v>
      </c>
      <c r="GL81" s="231">
        <f t="shared" si="405"/>
        <v>3.9629147145397045E-2</v>
      </c>
      <c r="GM81" s="231">
        <f t="shared" si="266"/>
        <v>54.375963486574705</v>
      </c>
      <c r="GO81" s="246">
        <f t="shared" si="406"/>
        <v>0.18</v>
      </c>
      <c r="GP81" s="246">
        <f t="shared" si="407"/>
        <v>0.17581913758236914</v>
      </c>
      <c r="GQ81" s="247">
        <f t="shared" si="416"/>
        <v>0.17790956879118458</v>
      </c>
      <c r="GR81" s="246">
        <f t="shared" si="420"/>
        <v>2.9563161667147601E-3</v>
      </c>
      <c r="GS81" s="246">
        <f t="shared" si="267"/>
        <v>1.6616959879120596</v>
      </c>
      <c r="GU81" s="249">
        <f t="shared" si="408"/>
        <v>2.1656331163950077E-2</v>
      </c>
      <c r="GV81" s="249">
        <f t="shared" si="409"/>
        <v>2.1656331163950077E-2</v>
      </c>
      <c r="GW81" s="249" t="e">
        <f t="shared" si="410"/>
        <v>#DIV/0!</v>
      </c>
      <c r="GX81" s="249" t="e">
        <f t="shared" si="268"/>
        <v>#DIV/0!</v>
      </c>
      <c r="GZ81" s="240">
        <f t="shared" si="411"/>
        <v>2.2932930989004674E-2</v>
      </c>
      <c r="HA81" s="240">
        <f t="shared" si="412"/>
        <v>2.2932930989004674E-2</v>
      </c>
      <c r="HB81" s="240" t="e">
        <f t="shared" si="413"/>
        <v>#DIV/0!</v>
      </c>
      <c r="HC81" s="240" t="e">
        <f t="shared" si="269"/>
        <v>#DIV/0!</v>
      </c>
      <c r="HE81" s="234">
        <f t="shared" si="414"/>
        <v>9.0537092923051843E-2</v>
      </c>
      <c r="HF81" s="234">
        <f t="shared" si="415"/>
        <v>9.0537092923051843E-2</v>
      </c>
      <c r="HG81" s="251">
        <f t="shared" si="418"/>
        <v>9.0537092923051843E-2</v>
      </c>
      <c r="HH81" s="234">
        <f t="shared" si="421"/>
        <v>0</v>
      </c>
      <c r="HI81" s="234">
        <f t="shared" si="270"/>
        <v>0</v>
      </c>
    </row>
    <row r="82" spans="2:217" ht="15.6" x14ac:dyDescent="0.25">
      <c r="B82">
        <v>78</v>
      </c>
      <c r="C82" s="124">
        <f t="shared" si="271"/>
        <v>75.779819280141965</v>
      </c>
      <c r="D82" s="124">
        <f t="shared" si="272"/>
        <v>168.48998466063404</v>
      </c>
      <c r="E82" s="29">
        <f t="shared" si="273"/>
        <v>2.0827000020218569</v>
      </c>
      <c r="F82" s="29">
        <f t="shared" si="274"/>
        <v>1.8995564957118669</v>
      </c>
      <c r="G82" s="29">
        <f t="shared" si="232"/>
        <v>1.8596996300546709</v>
      </c>
      <c r="H82" s="29">
        <f t="shared" si="275"/>
        <v>1.8987481737987979</v>
      </c>
      <c r="I82" s="29">
        <f t="shared" si="276"/>
        <v>1.922758167814596</v>
      </c>
      <c r="J82" s="29">
        <f t="shared" si="277"/>
        <v>1.8987481737987979</v>
      </c>
      <c r="K82" s="29">
        <f t="shared" si="278"/>
        <v>1.88326995380794</v>
      </c>
      <c r="L82" s="125">
        <f t="shared" si="233"/>
        <v>1.9207829424297895</v>
      </c>
      <c r="M82" s="126">
        <f t="shared" si="234"/>
        <v>7.3915554481485471E-2</v>
      </c>
      <c r="N82" s="126">
        <f t="shared" si="279"/>
        <v>3.8481992342134363</v>
      </c>
      <c r="P82" s="138">
        <f t="shared" si="280"/>
        <v>403.36441791025578</v>
      </c>
      <c r="Q82" s="138">
        <f t="shared" si="281"/>
        <v>325.79239999999999</v>
      </c>
      <c r="R82" s="138">
        <f t="shared" si="282"/>
        <v>403.36441791025578</v>
      </c>
      <c r="S82" s="138">
        <f t="shared" si="283"/>
        <v>324.49615418479311</v>
      </c>
      <c r="T82" s="138">
        <f t="shared" si="284"/>
        <v>442.94509187061885</v>
      </c>
      <c r="U82" s="138">
        <f t="shared" si="285"/>
        <v>403.36441791025578</v>
      </c>
      <c r="V82" s="138">
        <f t="shared" si="286"/>
        <v>248.88791999999998</v>
      </c>
      <c r="W82" s="138">
        <f t="shared" si="287"/>
        <v>364.6021171123113</v>
      </c>
      <c r="X82" s="138">
        <f t="shared" si="288"/>
        <v>67.267658649928407</v>
      </c>
      <c r="Y82" s="138">
        <f t="shared" si="289"/>
        <v>18.449607254805766</v>
      </c>
      <c r="AA82" s="227">
        <f t="shared" si="228"/>
        <v>0.44998435080000004</v>
      </c>
      <c r="AB82" s="227">
        <f t="shared" si="229"/>
        <v>0.41084106728538283</v>
      </c>
      <c r="AC82" s="227">
        <f t="shared" si="230"/>
        <v>0.47</v>
      </c>
      <c r="AD82" s="227">
        <f t="shared" si="231"/>
        <v>0.44998435080000004</v>
      </c>
      <c r="AE82" s="227">
        <f t="shared" si="290"/>
        <v>0.44520244222134575</v>
      </c>
      <c r="AF82" s="227">
        <f t="shared" si="291"/>
        <v>2.4774693126822851E-2</v>
      </c>
      <c r="AG82" s="227">
        <f t="shared" si="292"/>
        <v>5.5648151890652402</v>
      </c>
      <c r="AI82" s="228">
        <f t="shared" si="293"/>
        <v>4.2598908392423702</v>
      </c>
      <c r="AJ82" s="228">
        <f t="shared" si="294"/>
        <v>4.2598908392423702</v>
      </c>
      <c r="AK82" s="228">
        <f t="shared" si="295"/>
        <v>4.2598908392423702</v>
      </c>
      <c r="AL82" s="228">
        <f t="shared" si="296"/>
        <v>6.795440170677514</v>
      </c>
      <c r="AM82" s="228">
        <f t="shared" si="297"/>
        <v>4.28</v>
      </c>
      <c r="AN82" s="228">
        <f t="shared" si="298"/>
        <v>4.9256882532092279</v>
      </c>
      <c r="AO82" s="228">
        <f t="shared" si="299"/>
        <v>4.3861156857200383</v>
      </c>
      <c r="AP82" s="228">
        <f t="shared" si="300"/>
        <v>4.7381309467619843</v>
      </c>
      <c r="AQ82" s="228">
        <f t="shared" si="301"/>
        <v>0.93876146204438138</v>
      </c>
      <c r="AR82" s="228">
        <f t="shared" si="302"/>
        <v>19.812906662825061</v>
      </c>
      <c r="AT82" s="229">
        <f t="shared" si="303"/>
        <v>1.4271266127268751</v>
      </c>
      <c r="AU82" s="229">
        <f t="shared" si="304"/>
        <v>1.47</v>
      </c>
      <c r="AV82" s="229">
        <f t="shared" si="305"/>
        <v>1.2930032890851053</v>
      </c>
      <c r="AW82" s="229">
        <f t="shared" si="306"/>
        <v>1.4271266127268751</v>
      </c>
      <c r="AX82" s="229">
        <f t="shared" si="307"/>
        <v>1.5192869089087824</v>
      </c>
      <c r="AY82" s="229">
        <f t="shared" si="308"/>
        <v>1.3</v>
      </c>
      <c r="AZ82" s="229">
        <f t="shared" si="309"/>
        <v>1.3</v>
      </c>
      <c r="BA82" s="229">
        <f t="shared" si="310"/>
        <v>1.1772376638490316</v>
      </c>
      <c r="BB82" s="229">
        <f t="shared" si="311"/>
        <v>1.3642226359120837</v>
      </c>
      <c r="BC82" s="229">
        <f t="shared" si="312"/>
        <v>0.11428802535604497</v>
      </c>
      <c r="BD82" s="229">
        <f t="shared" si="313"/>
        <v>8.3775200870813116</v>
      </c>
      <c r="BF82" s="230">
        <f t="shared" si="314"/>
        <v>11.73</v>
      </c>
      <c r="BG82" s="230">
        <f t="shared" si="315"/>
        <v>6.27</v>
      </c>
      <c r="BH82" s="230">
        <f t="shared" si="316"/>
        <v>5.2706461538461538</v>
      </c>
      <c r="BI82" s="230">
        <f t="shared" si="235"/>
        <v>7.7568820512820515</v>
      </c>
      <c r="BJ82" s="230">
        <f t="shared" si="236"/>
        <v>3.4769133873702072</v>
      </c>
      <c r="BK82" s="230">
        <f t="shared" si="317"/>
        <v>44.823594897843591</v>
      </c>
      <c r="BM82" s="227">
        <f t="shared" si="318"/>
        <v>31.73</v>
      </c>
      <c r="BN82" s="227">
        <f t="shared" si="319"/>
        <v>23.097942368967004</v>
      </c>
      <c r="BO82" s="227">
        <f t="shared" si="320"/>
        <v>22.426195823040548</v>
      </c>
      <c r="BP82" s="227">
        <f t="shared" si="321"/>
        <v>23.097942368967004</v>
      </c>
      <c r="BQ82" s="227">
        <f t="shared" si="322"/>
        <v>15.17</v>
      </c>
      <c r="BR82" s="227">
        <f t="shared" si="323"/>
        <v>14.041087871983784</v>
      </c>
      <c r="BS82" s="227">
        <f t="shared" si="324"/>
        <v>19.95</v>
      </c>
      <c r="BT82" s="227">
        <f t="shared" si="237"/>
        <v>21.359024061851187</v>
      </c>
      <c r="BU82" s="227">
        <f t="shared" si="238"/>
        <v>5.8961177758364594</v>
      </c>
      <c r="BV82" s="227">
        <f t="shared" si="325"/>
        <v>27.604808903077956</v>
      </c>
      <c r="BX82" s="231">
        <f t="shared" si="326"/>
        <v>0.31553078247314581</v>
      </c>
      <c r="BY82" s="231">
        <f t="shared" si="327"/>
        <v>0.2811038354022185</v>
      </c>
      <c r="BZ82" s="231">
        <f t="shared" si="328"/>
        <v>0.31089501152878546</v>
      </c>
      <c r="CA82" s="231">
        <f t="shared" si="329"/>
        <v>0.24</v>
      </c>
      <c r="CB82" s="231">
        <f t="shared" si="330"/>
        <v>0.34858717484587248</v>
      </c>
      <c r="CC82" s="231">
        <f t="shared" si="331"/>
        <v>0.29890042329044197</v>
      </c>
      <c r="CD82" s="231">
        <f t="shared" si="332"/>
        <v>0.48</v>
      </c>
      <c r="CE82" s="231">
        <f t="shared" si="333"/>
        <v>0.43063142698608503</v>
      </c>
      <c r="CF82" s="231">
        <f t="shared" si="334"/>
        <v>0.33820608181581863</v>
      </c>
      <c r="CG82" s="231">
        <f t="shared" si="335"/>
        <v>7.9701072192174482E-2</v>
      </c>
      <c r="CH82" s="231">
        <f t="shared" si="239"/>
        <v>23.565830562319206</v>
      </c>
      <c r="CJ82" s="232">
        <f t="shared" si="336"/>
        <v>1.4303347606584635</v>
      </c>
      <c r="CK82" s="232">
        <f t="shared" si="337"/>
        <v>1.4303347606584635</v>
      </c>
      <c r="CL82" s="232">
        <f t="shared" si="338"/>
        <v>2.1</v>
      </c>
      <c r="CM82" s="232">
        <f t="shared" si="339"/>
        <v>1.7657518479231011</v>
      </c>
      <c r="CN82" s="232">
        <f t="shared" si="340"/>
        <v>1.6875677095648383</v>
      </c>
      <c r="CO82" s="232">
        <f t="shared" si="341"/>
        <v>1.4657599237485999</v>
      </c>
      <c r="CP82" s="232">
        <f t="shared" si="342"/>
        <v>1.4312357152958717</v>
      </c>
      <c r="CQ82" s="232">
        <f t="shared" si="343"/>
        <v>1.7816966282799629</v>
      </c>
      <c r="CR82" s="232">
        <f t="shared" si="344"/>
        <v>3.7965689459351122</v>
      </c>
      <c r="CS82" s="232">
        <f t="shared" si="345"/>
        <v>1.41</v>
      </c>
      <c r="CT82" s="232">
        <f t="shared" si="346"/>
        <v>1.3469493256072171</v>
      </c>
      <c r="CU82" s="232">
        <f t="shared" si="347"/>
        <v>1.786018147061057</v>
      </c>
      <c r="CV82" s="232">
        <f t="shared" si="348"/>
        <v>0.70474458699466513</v>
      </c>
      <c r="CW82" s="232">
        <f t="shared" si="240"/>
        <v>39.45898243835552</v>
      </c>
      <c r="CY82" s="229">
        <f t="shared" si="241"/>
        <v>1.19</v>
      </c>
      <c r="CZ82" s="229">
        <f t="shared" si="242"/>
        <v>0.76322384651365094</v>
      </c>
      <c r="DA82" s="229">
        <f t="shared" si="243"/>
        <v>0.4968589688683922</v>
      </c>
      <c r="DB82" s="229">
        <f t="shared" si="244"/>
        <v>1.1482172026496813</v>
      </c>
      <c r="DC82" s="229">
        <f t="shared" si="245"/>
        <v>0.57999999999999996</v>
      </c>
      <c r="DD82" s="229">
        <f t="shared" si="246"/>
        <v>0.53045873496099372</v>
      </c>
      <c r="DE82" s="229">
        <f t="shared" si="247"/>
        <v>0.8</v>
      </c>
      <c r="DF82" s="229">
        <f t="shared" si="248"/>
        <v>0.78696553614181675</v>
      </c>
      <c r="DG82" s="229">
        <f t="shared" si="249"/>
        <v>0.28474122850531386</v>
      </c>
      <c r="DH82" s="229">
        <f t="shared" si="250"/>
        <v>36.182172589321816</v>
      </c>
      <c r="DJ82" s="234">
        <f t="shared" si="349"/>
        <v>0.11215413253461011</v>
      </c>
      <c r="DK82" s="234">
        <f t="shared" si="350"/>
        <v>0.15155963856028393</v>
      </c>
      <c r="DL82" s="234">
        <f t="shared" si="351"/>
        <v>0.10916287349567536</v>
      </c>
      <c r="DM82" s="234">
        <f t="shared" si="251"/>
        <v>0.12429221486352311</v>
      </c>
      <c r="DN82" s="234">
        <f t="shared" si="252"/>
        <v>2.3661597662742617E-2</v>
      </c>
      <c r="DO82" s="234">
        <f t="shared" si="253"/>
        <v>19.037071379509825</v>
      </c>
      <c r="DQ82" s="229">
        <f t="shared" si="352"/>
        <v>3.49</v>
      </c>
      <c r="DR82" s="229">
        <f t="shared" si="353"/>
        <v>3.6783979096267285</v>
      </c>
      <c r="DS82" s="229">
        <f t="shared" si="354"/>
        <v>2.881174413644684</v>
      </c>
      <c r="DT82" s="229">
        <f t="shared" si="355"/>
        <v>2.5563412737354843</v>
      </c>
      <c r="DU82" s="229">
        <f t="shared" si="356"/>
        <v>3.6783979096267285</v>
      </c>
      <c r="DV82" s="229">
        <f t="shared" si="357"/>
        <v>1.97</v>
      </c>
      <c r="DW82" s="229">
        <f t="shared" si="358"/>
        <v>2.9874000000000001</v>
      </c>
      <c r="DX82" s="229">
        <f t="shared" si="359"/>
        <v>3.0353694946319703</v>
      </c>
      <c r="DY82" s="229">
        <f t="shared" si="254"/>
        <v>3.0346351251581991</v>
      </c>
      <c r="DZ82" s="229">
        <f t="shared" si="255"/>
        <v>0.58848632208014395</v>
      </c>
      <c r="EA82" s="229">
        <f t="shared" si="256"/>
        <v>19.392325528739324</v>
      </c>
      <c r="EC82" s="235">
        <f t="shared" si="360"/>
        <v>0.20444685992761341</v>
      </c>
      <c r="ED82" s="235">
        <f t="shared" si="361"/>
        <v>0.15</v>
      </c>
      <c r="EE82" s="235">
        <f t="shared" si="362"/>
        <v>0.16671560241631234</v>
      </c>
      <c r="EF82" s="235">
        <f t="shared" si="363"/>
        <v>0.13782367055707687</v>
      </c>
      <c r="EG82" s="235">
        <f t="shared" si="364"/>
        <v>0.16474653322525065</v>
      </c>
      <c r="EH82" s="235">
        <f t="shared" si="365"/>
        <v>2.8995941958409099E-2</v>
      </c>
      <c r="EI82" s="235">
        <f t="shared" si="257"/>
        <v>17.600335127394899</v>
      </c>
      <c r="EK82" s="236">
        <f t="shared" si="366"/>
        <v>20.705381659388649</v>
      </c>
      <c r="EL82" s="236">
        <f t="shared" si="367"/>
        <v>30.896062624162379</v>
      </c>
      <c r="EM82" s="236">
        <f t="shared" si="368"/>
        <v>31.558797368909477</v>
      </c>
      <c r="EN82" s="236">
        <f t="shared" si="369"/>
        <v>14.4</v>
      </c>
      <c r="EO82" s="236">
        <f t="shared" si="370"/>
        <v>31.07238918573789</v>
      </c>
      <c r="EP82" s="236">
        <f t="shared" si="371"/>
        <v>31.558797368909477</v>
      </c>
      <c r="EQ82" s="236">
        <f t="shared" si="372"/>
        <v>29.585625792751859</v>
      </c>
      <c r="ER82" s="236">
        <f t="shared" si="373"/>
        <v>27.111007714265675</v>
      </c>
      <c r="ES82" s="236">
        <f t="shared" si="374"/>
        <v>6.8106576574119035</v>
      </c>
      <c r="ET82" s="236">
        <f t="shared" si="258"/>
        <v>25.121374052902397</v>
      </c>
      <c r="EV82" s="238">
        <f t="shared" si="375"/>
        <v>1.5155963856028394E-2</v>
      </c>
      <c r="EW82" s="238">
        <f t="shared" si="376"/>
        <v>1.5155963856028394E-2</v>
      </c>
      <c r="EX82" s="238" t="e">
        <f t="shared" si="377"/>
        <v>#DIV/0!</v>
      </c>
      <c r="EY82" s="238" t="e">
        <f t="shared" si="259"/>
        <v>#DIV/0!</v>
      </c>
      <c r="FA82" s="240">
        <f t="shared" si="378"/>
        <v>0.46983487953688019</v>
      </c>
      <c r="FB82" s="240">
        <f t="shared" si="379"/>
        <v>0.6312458946035826</v>
      </c>
      <c r="FC82" s="240">
        <f t="shared" si="380"/>
        <v>0.55054038707023145</v>
      </c>
      <c r="FD82" s="240">
        <f t="shared" si="381"/>
        <v>0.1141348233118686</v>
      </c>
      <c r="FE82" s="240">
        <f t="shared" si="260"/>
        <v>20.731416984546971</v>
      </c>
      <c r="FG82" s="236">
        <f t="shared" si="382"/>
        <v>1.2</v>
      </c>
      <c r="FH82" s="236">
        <f t="shared" si="383"/>
        <v>1.2852325950317132</v>
      </c>
      <c r="FI82" s="236">
        <f t="shared" si="384"/>
        <v>1.2503670181223425</v>
      </c>
      <c r="FJ82" s="236">
        <f t="shared" si="385"/>
        <v>0.92</v>
      </c>
      <c r="FK82" s="236">
        <f t="shared" si="386"/>
        <v>1.2124771084822714</v>
      </c>
      <c r="FL82" s="236">
        <f t="shared" si="387"/>
        <v>0.9</v>
      </c>
      <c r="FM82" s="236">
        <f t="shared" si="388"/>
        <v>1.1280127869393881</v>
      </c>
      <c r="FN82" s="236">
        <f t="shared" si="389"/>
        <v>0.17161827230283352</v>
      </c>
      <c r="FO82" s="236">
        <f t="shared" si="261"/>
        <v>15.214213375052383</v>
      </c>
      <c r="FQ82" s="227">
        <f t="shared" si="390"/>
        <v>0.32</v>
      </c>
      <c r="FR82" s="227">
        <f t="shared" si="391"/>
        <v>0.32667925051918401</v>
      </c>
      <c r="FS82" s="227">
        <f t="shared" si="392"/>
        <v>0.32667925051918401</v>
      </c>
      <c r="FT82" s="227">
        <f t="shared" si="393"/>
        <v>0.24</v>
      </c>
      <c r="FU82" s="227">
        <f t="shared" si="394"/>
        <v>0.31577450694035153</v>
      </c>
      <c r="FV82" s="227">
        <f t="shared" si="262"/>
        <v>0.30582660159574393</v>
      </c>
      <c r="FW82" s="227">
        <f t="shared" si="263"/>
        <v>3.7089936151752705E-2</v>
      </c>
      <c r="FX82" s="227">
        <f t="shared" si="264"/>
        <v>12.127766505014478</v>
      </c>
      <c r="FZ82" s="230">
        <f t="shared" si="395"/>
        <v>1.5913762048829814</v>
      </c>
      <c r="GA82" s="230">
        <f t="shared" si="396"/>
        <v>2.4700000000000002</v>
      </c>
      <c r="GB82" s="230">
        <f t="shared" si="397"/>
        <v>3.4100334273254251</v>
      </c>
      <c r="GC82" s="230">
        <f t="shared" si="398"/>
        <v>2.4904698774028025</v>
      </c>
      <c r="GD82" s="230">
        <f t="shared" si="399"/>
        <v>0.90950139367467719</v>
      </c>
      <c r="GE82" s="230">
        <f t="shared" si="265"/>
        <v>36.519268991245731</v>
      </c>
      <c r="GG82" s="231">
        <f t="shared" si="400"/>
        <v>0.10609174699219875</v>
      </c>
      <c r="GH82" s="231">
        <f t="shared" si="401"/>
        <v>0.05</v>
      </c>
      <c r="GI82" s="231">
        <f t="shared" si="402"/>
        <v>0.05</v>
      </c>
      <c r="GJ82" s="231">
        <f t="shared" si="403"/>
        <v>0.11761027952278033</v>
      </c>
      <c r="GK82" s="245">
        <f t="shared" si="404"/>
        <v>7.2536759840926779E-2</v>
      </c>
      <c r="GL82" s="231">
        <f t="shared" si="405"/>
        <v>3.9034813082463066E-2</v>
      </c>
      <c r="GM82" s="231">
        <f t="shared" si="266"/>
        <v>53.813836140553384</v>
      </c>
      <c r="GO82" s="246">
        <f t="shared" si="406"/>
        <v>0.18</v>
      </c>
      <c r="GP82" s="246">
        <f t="shared" si="407"/>
        <v>0.17429358434432651</v>
      </c>
      <c r="GQ82" s="247">
        <f t="shared" si="416"/>
        <v>0.17714679217216325</v>
      </c>
      <c r="GR82" s="246">
        <f t="shared" si="420"/>
        <v>4.0350452063957973E-3</v>
      </c>
      <c r="GS82" s="246">
        <f t="shared" si="267"/>
        <v>2.2777975016754848</v>
      </c>
      <c r="GU82" s="249">
        <f t="shared" si="408"/>
        <v>2.1468422802064218E-2</v>
      </c>
      <c r="GV82" s="249">
        <f t="shared" si="409"/>
        <v>2.1468422802064218E-2</v>
      </c>
      <c r="GW82" s="249" t="e">
        <f t="shared" si="410"/>
        <v>#DIV/0!</v>
      </c>
      <c r="GX82" s="249" t="e">
        <f t="shared" si="268"/>
        <v>#DIV/0!</v>
      </c>
      <c r="GZ82" s="240">
        <f t="shared" si="411"/>
        <v>2.2733945784042593E-2</v>
      </c>
      <c r="HA82" s="240">
        <f t="shared" si="412"/>
        <v>2.2733945784042593E-2</v>
      </c>
      <c r="HB82" s="240" t="e">
        <f t="shared" si="413"/>
        <v>#DIV/0!</v>
      </c>
      <c r="HC82" s="240" t="e">
        <f t="shared" si="269"/>
        <v>#DIV/0!</v>
      </c>
      <c r="HE82" s="234">
        <f t="shared" si="414"/>
        <v>8.9747784943368922E-2</v>
      </c>
      <c r="HF82" s="234">
        <f t="shared" si="415"/>
        <v>8.9747784943368922E-2</v>
      </c>
      <c r="HG82" s="251">
        <f t="shared" si="418"/>
        <v>8.9747784943368922E-2</v>
      </c>
      <c r="HH82" s="234">
        <f t="shared" si="421"/>
        <v>0</v>
      </c>
      <c r="HI82" s="234">
        <f t="shared" si="270"/>
        <v>0</v>
      </c>
    </row>
    <row r="83" spans="2:217" ht="15.6" x14ac:dyDescent="0.25">
      <c r="B83">
        <v>79</v>
      </c>
      <c r="C83" s="124">
        <f t="shared" si="271"/>
        <v>75.884918051073328</v>
      </c>
      <c r="D83" s="124">
        <f t="shared" si="272"/>
        <v>170.12239622540801</v>
      </c>
      <c r="E83" s="29">
        <f t="shared" si="273"/>
        <v>2.0943871541765571</v>
      </c>
      <c r="F83" s="29">
        <f t="shared" si="274"/>
        <v>1.9086631041452826</v>
      </c>
      <c r="G83" s="29">
        <f t="shared" si="232"/>
        <v>1.8738485169486612</v>
      </c>
      <c r="H83" s="29">
        <f t="shared" si="275"/>
        <v>1.9078509070796892</v>
      </c>
      <c r="I83" s="29">
        <f t="shared" si="276"/>
        <v>1.931952139197977</v>
      </c>
      <c r="J83" s="29">
        <f t="shared" si="277"/>
        <v>1.907850907079689</v>
      </c>
      <c r="K83" s="29">
        <f t="shared" si="278"/>
        <v>1.8936827799743747</v>
      </c>
      <c r="L83" s="125">
        <f t="shared" si="233"/>
        <v>1.9311765012288902</v>
      </c>
      <c r="M83" s="126">
        <f t="shared" si="234"/>
        <v>7.4078354348710879E-2</v>
      </c>
      <c r="N83" s="126">
        <f t="shared" si="279"/>
        <v>3.8359183793698639</v>
      </c>
      <c r="P83" s="138">
        <f t="shared" si="280"/>
        <v>405.54706525806694</v>
      </c>
      <c r="Q83" s="138">
        <f t="shared" si="281"/>
        <v>325.79239999999999</v>
      </c>
      <c r="R83" s="138">
        <f t="shared" si="282"/>
        <v>405.54706525806694</v>
      </c>
      <c r="S83" s="138">
        <f t="shared" si="283"/>
        <v>326.53312506843713</v>
      </c>
      <c r="T83" s="138">
        <f t="shared" si="284"/>
        <v>443.42510948758502</v>
      </c>
      <c r="U83" s="138">
        <f t="shared" si="285"/>
        <v>405.54706525806694</v>
      </c>
      <c r="V83" s="138">
        <f t="shared" si="286"/>
        <v>248.65157999999997</v>
      </c>
      <c r="W83" s="138">
        <f t="shared" si="287"/>
        <v>365.86334433288903</v>
      </c>
      <c r="X83" s="138">
        <f t="shared" si="288"/>
        <v>67.861826479081984</v>
      </c>
      <c r="Y83" s="138">
        <f t="shared" si="289"/>
        <v>18.548408177599875</v>
      </c>
      <c r="AA83" s="227">
        <f t="shared" si="228"/>
        <v>0.45193226585000007</v>
      </c>
      <c r="AB83" s="227">
        <f t="shared" si="229"/>
        <v>0.41091743119266055</v>
      </c>
      <c r="AC83" s="227">
        <f t="shared" si="230"/>
        <v>0.47</v>
      </c>
      <c r="AD83" s="227">
        <f t="shared" si="231"/>
        <v>0.45193226585000007</v>
      </c>
      <c r="AE83" s="227">
        <f t="shared" si="290"/>
        <v>0.44619549072316517</v>
      </c>
      <c r="AF83" s="227">
        <f t="shared" si="291"/>
        <v>2.5013445210262986E-2</v>
      </c>
      <c r="AG83" s="227">
        <f t="shared" si="292"/>
        <v>5.6059385920110474</v>
      </c>
      <c r="AI83" s="228">
        <f t="shared" si="293"/>
        <v>4.2877563820870037</v>
      </c>
      <c r="AJ83" s="228">
        <f t="shared" si="294"/>
        <v>4.2877563820870037</v>
      </c>
      <c r="AK83" s="228">
        <f t="shared" si="295"/>
        <v>4.2877563820870037</v>
      </c>
      <c r="AL83" s="228">
        <f t="shared" si="296"/>
        <v>6.8048619526937211</v>
      </c>
      <c r="AM83" s="228">
        <f t="shared" si="297"/>
        <v>4.28</v>
      </c>
      <c r="AN83" s="228">
        <f t="shared" si="298"/>
        <v>4.9325196733197663</v>
      </c>
      <c r="AO83" s="228">
        <f t="shared" si="299"/>
        <v>4.4121976351592904</v>
      </c>
      <c r="AP83" s="228">
        <f t="shared" si="300"/>
        <v>4.75612120106197</v>
      </c>
      <c r="AQ83" s="228">
        <f t="shared" si="301"/>
        <v>0.93376716554108508</v>
      </c>
      <c r="AR83" s="228">
        <f t="shared" si="302"/>
        <v>19.632955638989795</v>
      </c>
      <c r="AT83" s="229">
        <f t="shared" si="303"/>
        <v>1.4273502735387273</v>
      </c>
      <c r="AU83" s="229">
        <f t="shared" si="304"/>
        <v>1.47</v>
      </c>
      <c r="AV83" s="229">
        <f t="shared" si="305"/>
        <v>1.3031977432092368</v>
      </c>
      <c r="AW83" s="229">
        <f t="shared" si="306"/>
        <v>1.4273502735387273</v>
      </c>
      <c r="AX83" s="229">
        <f t="shared" si="307"/>
        <v>1.5370511037872421</v>
      </c>
      <c r="AY83" s="229">
        <f t="shared" si="308"/>
        <v>1.3</v>
      </c>
      <c r="AZ83" s="229">
        <f t="shared" si="309"/>
        <v>1.3</v>
      </c>
      <c r="BA83" s="229">
        <f t="shared" si="310"/>
        <v>1.1753675488115638</v>
      </c>
      <c r="BB83" s="229">
        <f t="shared" si="311"/>
        <v>1.3675396178606873</v>
      </c>
      <c r="BC83" s="229">
        <f t="shared" si="312"/>
        <v>0.11746129073763351</v>
      </c>
      <c r="BD83" s="229">
        <f t="shared" si="313"/>
        <v>8.5892422569361653</v>
      </c>
      <c r="BF83" s="230">
        <f t="shared" si="314"/>
        <v>11.73</v>
      </c>
      <c r="BG83" s="230">
        <f t="shared" si="315"/>
        <v>6.27</v>
      </c>
      <c r="BH83" s="230">
        <f t="shared" si="316"/>
        <v>5.2534153846153844</v>
      </c>
      <c r="BI83" s="230">
        <f t="shared" si="235"/>
        <v>7.7511384615384609</v>
      </c>
      <c r="BJ83" s="230">
        <f t="shared" si="236"/>
        <v>3.4830827476167663</v>
      </c>
      <c r="BK83" s="230">
        <f t="shared" si="317"/>
        <v>44.93640211563757</v>
      </c>
      <c r="BM83" s="227">
        <f t="shared" si="318"/>
        <v>31.73</v>
      </c>
      <c r="BN83" s="227">
        <f t="shared" si="319"/>
        <v>23.269815143154453</v>
      </c>
      <c r="BO83" s="227">
        <f t="shared" si="320"/>
        <v>22.437360727572042</v>
      </c>
      <c r="BP83" s="227">
        <f t="shared" si="321"/>
        <v>23.269815143154453</v>
      </c>
      <c r="BQ83" s="227">
        <f t="shared" si="322"/>
        <v>15.17</v>
      </c>
      <c r="BR83" s="227">
        <f t="shared" si="323"/>
        <v>13.756997797642738</v>
      </c>
      <c r="BS83" s="227">
        <f t="shared" si="324"/>
        <v>19.95</v>
      </c>
      <c r="BT83" s="227">
        <f t="shared" si="237"/>
        <v>21.369141258789096</v>
      </c>
      <c r="BU83" s="227">
        <f t="shared" si="238"/>
        <v>5.9735758616611223</v>
      </c>
      <c r="BV83" s="227">
        <f t="shared" si="325"/>
        <v>27.954215797998899</v>
      </c>
      <c r="BX83" s="231">
        <f t="shared" si="326"/>
        <v>0.31861745312770545</v>
      </c>
      <c r="BY83" s="231">
        <f t="shared" si="327"/>
        <v>0.28107718973634399</v>
      </c>
      <c r="BZ83" s="231">
        <f t="shared" si="328"/>
        <v>0.31119542875438694</v>
      </c>
      <c r="CA83" s="231">
        <f t="shared" si="329"/>
        <v>0.24</v>
      </c>
      <c r="CB83" s="231">
        <f t="shared" si="330"/>
        <v>0.34907062797812904</v>
      </c>
      <c r="CC83" s="231">
        <f t="shared" si="331"/>
        <v>0.30193264364632322</v>
      </c>
      <c r="CD83" s="231">
        <f t="shared" si="332"/>
        <v>0.48</v>
      </c>
      <c r="CE83" s="231">
        <f t="shared" si="333"/>
        <v>0.43737262769144025</v>
      </c>
      <c r="CF83" s="231">
        <f t="shared" si="334"/>
        <v>0.33990824636679107</v>
      </c>
      <c r="CG83" s="231">
        <f t="shared" si="335"/>
        <v>8.0508717709090488E-2</v>
      </c>
      <c r="CH83" s="231">
        <f t="shared" si="239"/>
        <v>23.685426455413047</v>
      </c>
      <c r="CJ83" s="232">
        <f t="shared" si="336"/>
        <v>1.4396251346606788</v>
      </c>
      <c r="CK83" s="232">
        <f t="shared" si="337"/>
        <v>1.4396251346606788</v>
      </c>
      <c r="CL83" s="232">
        <f t="shared" si="338"/>
        <v>2.1</v>
      </c>
      <c r="CM83" s="232">
        <f t="shared" si="339"/>
        <v>1.7681913254467239</v>
      </c>
      <c r="CN83" s="232">
        <f t="shared" si="340"/>
        <v>1.6872201904634789</v>
      </c>
      <c r="CO83" s="232">
        <f t="shared" si="341"/>
        <v>1.4673453107563315</v>
      </c>
      <c r="CP83" s="232">
        <f t="shared" si="342"/>
        <v>1.4405319412187496</v>
      </c>
      <c r="CQ83" s="232">
        <f t="shared" si="343"/>
        <v>1.7840803066235587</v>
      </c>
      <c r="CR83" s="232">
        <f t="shared" si="344"/>
        <v>3.8018343943587736</v>
      </c>
      <c r="CS83" s="232">
        <f t="shared" si="345"/>
        <v>1.41</v>
      </c>
      <c r="CT83" s="232">
        <f t="shared" si="346"/>
        <v>1.3580831286475263</v>
      </c>
      <c r="CU83" s="232">
        <f t="shared" si="347"/>
        <v>1.7905942606214997</v>
      </c>
      <c r="CV83" s="232">
        <f t="shared" si="348"/>
        <v>0.70408517559365458</v>
      </c>
      <c r="CW83" s="232">
        <f t="shared" si="240"/>
        <v>39.321313101342831</v>
      </c>
      <c r="CY83" s="229">
        <f t="shared" si="241"/>
        <v>1.19</v>
      </c>
      <c r="CZ83" s="229">
        <f t="shared" si="242"/>
        <v>0.76658260795066802</v>
      </c>
      <c r="DA83" s="229">
        <f t="shared" si="243"/>
        <v>0.5038739628780603</v>
      </c>
      <c r="DB83" s="229">
        <f t="shared" si="244"/>
        <v>1.1494467799133399</v>
      </c>
      <c r="DC83" s="229">
        <f t="shared" si="245"/>
        <v>0.57999999999999996</v>
      </c>
      <c r="DD83" s="229">
        <f t="shared" si="246"/>
        <v>0.53119442635751335</v>
      </c>
      <c r="DE83" s="229">
        <f t="shared" si="247"/>
        <v>0.8</v>
      </c>
      <c r="DF83" s="229">
        <f t="shared" si="248"/>
        <v>0.7887282538713688</v>
      </c>
      <c r="DG83" s="229">
        <f t="shared" si="249"/>
        <v>0.28366279116246274</v>
      </c>
      <c r="DH83" s="229">
        <f t="shared" si="250"/>
        <v>35.964578391878476</v>
      </c>
      <c r="DJ83" s="234">
        <f t="shared" si="349"/>
        <v>0.11230967871558853</v>
      </c>
      <c r="DK83" s="234">
        <f t="shared" si="350"/>
        <v>0.15176983610214667</v>
      </c>
      <c r="DL83" s="234">
        <f t="shared" si="351"/>
        <v>0.11031767816540863</v>
      </c>
      <c r="DM83" s="234">
        <f t="shared" si="251"/>
        <v>0.12479906432771459</v>
      </c>
      <c r="DN83" s="234">
        <f t="shared" si="252"/>
        <v>2.3378599490332212E-2</v>
      </c>
      <c r="DO83" s="234">
        <f t="shared" si="253"/>
        <v>18.732992603968139</v>
      </c>
      <c r="DQ83" s="229">
        <f t="shared" si="352"/>
        <v>3.49</v>
      </c>
      <c r="DR83" s="229">
        <f t="shared" si="353"/>
        <v>3.6983435032496295</v>
      </c>
      <c r="DS83" s="229">
        <f t="shared" si="354"/>
        <v>2.8967647518433357</v>
      </c>
      <c r="DT83" s="229">
        <f t="shared" si="355"/>
        <v>2.5590257516599784</v>
      </c>
      <c r="DU83" s="229">
        <f t="shared" si="356"/>
        <v>3.6983435032496295</v>
      </c>
      <c r="DV83" s="229">
        <f t="shared" si="357"/>
        <v>1.97</v>
      </c>
      <c r="DW83" s="229">
        <f t="shared" si="358"/>
        <v>3.0257000000000001</v>
      </c>
      <c r="DX83" s="229">
        <f t="shared" si="359"/>
        <v>3.0875521671561437</v>
      </c>
      <c r="DY83" s="229">
        <f t="shared" si="254"/>
        <v>3.0532162096448396</v>
      </c>
      <c r="DZ83" s="229">
        <f t="shared" si="255"/>
        <v>0.59367538670375741</v>
      </c>
      <c r="EA83" s="229">
        <f t="shared" si="256"/>
        <v>19.444262899836225</v>
      </c>
      <c r="EC83" s="235">
        <f t="shared" si="360"/>
        <v>0.2046859835323159</v>
      </c>
      <c r="ED83" s="235">
        <f t="shared" si="361"/>
        <v>0.15</v>
      </c>
      <c r="EE83" s="235">
        <f t="shared" si="362"/>
        <v>0.16694681971236133</v>
      </c>
      <c r="EF83" s="235">
        <f t="shared" si="363"/>
        <v>0.13917678608565431</v>
      </c>
      <c r="EG83" s="235">
        <f t="shared" si="364"/>
        <v>0.16520239733258288</v>
      </c>
      <c r="EH83" s="235">
        <f t="shared" si="365"/>
        <v>2.8696352346972601E-2</v>
      </c>
      <c r="EI83" s="235">
        <f t="shared" si="257"/>
        <v>17.370421259203372</v>
      </c>
      <c r="EK83" s="236">
        <f t="shared" si="366"/>
        <v>20.705381659388649</v>
      </c>
      <c r="EL83" s="236">
        <f t="shared" si="367"/>
        <v>30.648466541223897</v>
      </c>
      <c r="EM83" s="236">
        <f t="shared" si="368"/>
        <v>31.305890236183753</v>
      </c>
      <c r="EN83" s="236">
        <f t="shared" si="369"/>
        <v>14.4</v>
      </c>
      <c r="EO83" s="236">
        <f t="shared" si="370"/>
        <v>31.220643669807743</v>
      </c>
      <c r="EP83" s="236">
        <f t="shared" si="371"/>
        <v>31.305890236183753</v>
      </c>
      <c r="EQ83" s="236">
        <f t="shared" si="372"/>
        <v>29.671926264256463</v>
      </c>
      <c r="ER83" s="236">
        <f t="shared" si="373"/>
        <v>27.036885515292038</v>
      </c>
      <c r="ES83" s="236">
        <f t="shared" si="374"/>
        <v>6.7542382838352983</v>
      </c>
      <c r="ET83" s="236">
        <f t="shared" si="258"/>
        <v>24.981569271412965</v>
      </c>
      <c r="EV83" s="238">
        <f t="shared" si="375"/>
        <v>1.5176983610214667E-2</v>
      </c>
      <c r="EW83" s="238">
        <f t="shared" si="376"/>
        <v>1.5176983610214667E-2</v>
      </c>
      <c r="EX83" s="238" t="e">
        <f t="shared" si="377"/>
        <v>#DIV/0!</v>
      </c>
      <c r="EY83" s="238" t="e">
        <f t="shared" si="259"/>
        <v>#DIV/0!</v>
      </c>
      <c r="FA83" s="240">
        <f t="shared" si="378"/>
        <v>0.47048649191665459</v>
      </c>
      <c r="FB83" s="240">
        <f t="shared" si="379"/>
        <v>0.63212136736544089</v>
      </c>
      <c r="FC83" s="240">
        <f t="shared" si="380"/>
        <v>0.5513039296410478</v>
      </c>
      <c r="FD83" s="240">
        <f t="shared" si="381"/>
        <v>0.11429311650607948</v>
      </c>
      <c r="FE83" s="240">
        <f t="shared" si="260"/>
        <v>20.731416984547046</v>
      </c>
      <c r="FG83" s="236">
        <f t="shared" si="382"/>
        <v>1.2</v>
      </c>
      <c r="FH83" s="236">
        <f t="shared" si="383"/>
        <v>1.2904051111145296</v>
      </c>
      <c r="FI83" s="236">
        <f t="shared" si="384"/>
        <v>1.25210114784271</v>
      </c>
      <c r="FJ83" s="236">
        <f t="shared" si="385"/>
        <v>0.92</v>
      </c>
      <c r="FK83" s="236">
        <f t="shared" si="386"/>
        <v>1.2141586888171734</v>
      </c>
      <c r="FL83" s="236">
        <f t="shared" si="387"/>
        <v>0.9</v>
      </c>
      <c r="FM83" s="236">
        <f t="shared" si="388"/>
        <v>1.1294441579624022</v>
      </c>
      <c r="FN83" s="236">
        <f t="shared" si="389"/>
        <v>0.17298515607841794</v>
      </c>
      <c r="FO83" s="236">
        <f t="shared" si="261"/>
        <v>15.315954742773249</v>
      </c>
      <c r="FQ83" s="227">
        <f t="shared" si="390"/>
        <v>0.32</v>
      </c>
      <c r="FR83" s="227">
        <f t="shared" si="391"/>
        <v>0.32999406602709003</v>
      </c>
      <c r="FS83" s="227">
        <f t="shared" si="392"/>
        <v>0.32999406602709003</v>
      </c>
      <c r="FT83" s="227">
        <f t="shared" si="393"/>
        <v>0.24</v>
      </c>
      <c r="FU83" s="227">
        <f t="shared" si="394"/>
        <v>0.31621245351882254</v>
      </c>
      <c r="FV83" s="227">
        <f t="shared" si="262"/>
        <v>0.30724011711460053</v>
      </c>
      <c r="FW83" s="227">
        <f t="shared" si="263"/>
        <v>3.8078980959347093E-2</v>
      </c>
      <c r="FX83" s="227">
        <f t="shared" si="264"/>
        <v>12.393883102558394</v>
      </c>
      <c r="FZ83" s="230">
        <f t="shared" si="395"/>
        <v>1.5935832790725399</v>
      </c>
      <c r="GA83" s="230">
        <f t="shared" si="396"/>
        <v>2.4700000000000002</v>
      </c>
      <c r="GB83" s="230">
        <f t="shared" si="397"/>
        <v>3.4147702323851798</v>
      </c>
      <c r="GC83" s="230">
        <f t="shared" si="398"/>
        <v>2.4927845038192404</v>
      </c>
      <c r="GD83" s="230">
        <f t="shared" si="399"/>
        <v>0.91080724082527964</v>
      </c>
      <c r="GE83" s="230">
        <f t="shared" si="265"/>
        <v>36.537744816281368</v>
      </c>
      <c r="GG83" s="231">
        <f t="shared" si="400"/>
        <v>0.10623888527150266</v>
      </c>
      <c r="GH83" s="231">
        <f t="shared" si="401"/>
        <v>0.05</v>
      </c>
      <c r="GI83" s="231">
        <f t="shared" si="402"/>
        <v>0.05</v>
      </c>
      <c r="GJ83" s="231">
        <f t="shared" si="403"/>
        <v>0.1177733928152658</v>
      </c>
      <c r="GK83" s="245">
        <f t="shared" si="404"/>
        <v>7.2591130938421941E-2</v>
      </c>
      <c r="GL83" s="231">
        <f t="shared" si="405"/>
        <v>3.9128986585787971E-2</v>
      </c>
      <c r="GM83" s="231">
        <f t="shared" si="266"/>
        <v>53.903260742666411</v>
      </c>
      <c r="GO83" s="246">
        <f t="shared" si="406"/>
        <v>0.18</v>
      </c>
      <c r="GP83" s="246">
        <f t="shared" si="407"/>
        <v>0.17453531151746865</v>
      </c>
      <c r="GQ83" s="247">
        <f t="shared" si="416"/>
        <v>0.17726765575873432</v>
      </c>
      <c r="GR83" s="246">
        <f t="shared" si="420"/>
        <v>3.864118283069937E-3</v>
      </c>
      <c r="GS83" s="246">
        <f t="shared" si="267"/>
        <v>2.1798213929838943</v>
      </c>
      <c r="GU83" s="249">
        <f t="shared" si="408"/>
        <v>2.1498197283869074E-2</v>
      </c>
      <c r="GV83" s="249">
        <f t="shared" si="409"/>
        <v>2.1498197283869074E-2</v>
      </c>
      <c r="GW83" s="249" t="e">
        <f t="shared" si="410"/>
        <v>#DIV/0!</v>
      </c>
      <c r="GX83" s="249" t="e">
        <f t="shared" si="268"/>
        <v>#DIV/0!</v>
      </c>
      <c r="GZ83" s="240">
        <f t="shared" si="411"/>
        <v>2.2765475415321999E-2</v>
      </c>
      <c r="HA83" s="240">
        <f t="shared" si="412"/>
        <v>2.2765475415321999E-2</v>
      </c>
      <c r="HB83" s="240" t="e">
        <f t="shared" si="413"/>
        <v>#DIV/0!</v>
      </c>
      <c r="HC83" s="240" t="e">
        <f t="shared" si="269"/>
        <v>#DIV/0!</v>
      </c>
      <c r="HE83" s="234">
        <f t="shared" si="414"/>
        <v>8.9872852480777241E-2</v>
      </c>
      <c r="HF83" s="234">
        <f t="shared" si="415"/>
        <v>8.9872852480777241E-2</v>
      </c>
      <c r="HG83" s="251">
        <f t="shared" si="418"/>
        <v>8.9872852480777241E-2</v>
      </c>
      <c r="HH83" s="234">
        <f t="shared" si="421"/>
        <v>0</v>
      </c>
      <c r="HI83" s="234">
        <f t="shared" si="270"/>
        <v>0</v>
      </c>
    </row>
    <row r="84" spans="2:217" ht="15.6" x14ac:dyDescent="0.25">
      <c r="B84">
        <v>80</v>
      </c>
      <c r="C84" s="124">
        <f t="shared" si="271"/>
        <v>77.409895129036158</v>
      </c>
      <c r="D84" s="124">
        <f t="shared" si="272"/>
        <v>172.42447909171187</v>
      </c>
      <c r="E84" s="29">
        <f t="shared" si="273"/>
        <v>2.1267755252543443</v>
      </c>
      <c r="F84" s="29">
        <f t="shared" si="274"/>
        <v>1.9392901622800132</v>
      </c>
      <c r="G84" s="29">
        <f t="shared" si="232"/>
        <v>1.9082665876216933</v>
      </c>
      <c r="H84" s="29">
        <f t="shared" si="275"/>
        <v>1.9384649324237238</v>
      </c>
      <c r="I84" s="29">
        <f t="shared" si="276"/>
        <v>1.963095418509105</v>
      </c>
      <c r="J84" s="29">
        <f t="shared" si="277"/>
        <v>1.9384649324237238</v>
      </c>
      <c r="K84" s="29">
        <f t="shared" si="278"/>
        <v>1.9255129795696366</v>
      </c>
      <c r="L84" s="125">
        <f t="shared" si="233"/>
        <v>1.9628386482974631</v>
      </c>
      <c r="M84" s="126">
        <f t="shared" si="234"/>
        <v>7.4150037260496515E-2</v>
      </c>
      <c r="N84" s="126">
        <f t="shared" si="279"/>
        <v>3.7776939701494641</v>
      </c>
      <c r="P84" s="138">
        <f t="shared" si="280"/>
        <v>412.19611614246725</v>
      </c>
      <c r="Q84" s="138">
        <f t="shared" si="281"/>
        <v>325.79239999999999</v>
      </c>
      <c r="R84" s="138">
        <f t="shared" si="282"/>
        <v>412.19611614246725</v>
      </c>
      <c r="S84" s="138">
        <f t="shared" si="283"/>
        <v>334.54437539720266</v>
      </c>
      <c r="T84" s="138">
        <f t="shared" si="284"/>
        <v>450.37391716503981</v>
      </c>
      <c r="U84" s="138">
        <f t="shared" si="285"/>
        <v>412.19611614246725</v>
      </c>
      <c r="V84" s="138">
        <f t="shared" si="286"/>
        <v>248.47199999999998</v>
      </c>
      <c r="W84" s="138">
        <f t="shared" si="287"/>
        <v>370.82443442709206</v>
      </c>
      <c r="X84" s="138">
        <f t="shared" si="288"/>
        <v>70.447632283184419</v>
      </c>
      <c r="Y84" s="138">
        <f t="shared" si="289"/>
        <v>18.997570209207765</v>
      </c>
      <c r="AA84" s="227">
        <f t="shared" si="228"/>
        <v>0.45407019999999992</v>
      </c>
      <c r="AB84" s="227">
        <f t="shared" si="229"/>
        <v>0.41099206349206346</v>
      </c>
      <c r="AC84" s="227">
        <f t="shared" si="230"/>
        <v>0.47</v>
      </c>
      <c r="AD84" s="227">
        <f t="shared" si="231"/>
        <v>0.45407019999999992</v>
      </c>
      <c r="AE84" s="227">
        <f t="shared" si="290"/>
        <v>0.44728311587301584</v>
      </c>
      <c r="AF84" s="227">
        <f t="shared" si="291"/>
        <v>2.5332629349315294E-2</v>
      </c>
      <c r="AG84" s="227">
        <f t="shared" si="292"/>
        <v>5.6636676973309354</v>
      </c>
      <c r="AI84" s="228">
        <f t="shared" si="293"/>
        <v>4.3728358464833965</v>
      </c>
      <c r="AJ84" s="228">
        <f t="shared" si="294"/>
        <v>4.3728358464833965</v>
      </c>
      <c r="AK84" s="228">
        <f t="shared" si="295"/>
        <v>4.3728358464833965</v>
      </c>
      <c r="AL84" s="228">
        <f t="shared" si="296"/>
        <v>6.941570594288379</v>
      </c>
      <c r="AM84" s="228">
        <f t="shared" si="297"/>
        <v>4.28</v>
      </c>
      <c r="AN84" s="228">
        <f t="shared" si="298"/>
        <v>5.0316431833873505</v>
      </c>
      <c r="AO84" s="228">
        <f t="shared" si="299"/>
        <v>4.49165170233137</v>
      </c>
      <c r="AP84" s="228">
        <f t="shared" si="300"/>
        <v>4.8376247170653262</v>
      </c>
      <c r="AQ84" s="228">
        <f t="shared" si="301"/>
        <v>0.96115903593999941</v>
      </c>
      <c r="AR84" s="228">
        <f t="shared" si="302"/>
        <v>19.868408406079759</v>
      </c>
      <c r="AT84" s="229">
        <f t="shared" si="303"/>
        <v>1.4275684322787059</v>
      </c>
      <c r="AU84" s="229">
        <f t="shared" si="304"/>
        <v>1.47</v>
      </c>
      <c r="AV84" s="229">
        <f t="shared" si="305"/>
        <v>1.3146750073562503</v>
      </c>
      <c r="AW84" s="229">
        <f t="shared" si="306"/>
        <v>1.4275684322787059</v>
      </c>
      <c r="AX84" s="229">
        <f t="shared" si="307"/>
        <v>1.5323337309100733</v>
      </c>
      <c r="AY84" s="229">
        <f t="shared" si="308"/>
        <v>1.3</v>
      </c>
      <c r="AZ84" s="229">
        <f t="shared" si="309"/>
        <v>1.3</v>
      </c>
      <c r="BA84" s="229">
        <f t="shared" si="310"/>
        <v>1.173500404567811</v>
      </c>
      <c r="BB84" s="229">
        <f t="shared" si="311"/>
        <v>1.3682057509239434</v>
      </c>
      <c r="BC84" s="229">
        <f t="shared" si="312"/>
        <v>0.11614503258507038</v>
      </c>
      <c r="BD84" s="229">
        <f t="shared" si="313"/>
        <v>8.4888572136638185</v>
      </c>
      <c r="BF84" s="230">
        <f t="shared" si="314"/>
        <v>11.73</v>
      </c>
      <c r="BG84" s="230">
        <f t="shared" si="315"/>
        <v>6.27</v>
      </c>
      <c r="BH84" s="230">
        <f t="shared" si="316"/>
        <v>5.2361846153846159</v>
      </c>
      <c r="BI84" s="230">
        <f t="shared" si="235"/>
        <v>7.745394871794872</v>
      </c>
      <c r="BJ84" s="230">
        <f t="shared" si="236"/>
        <v>3.4892695629824613</v>
      </c>
      <c r="BK84" s="230">
        <f t="shared" si="317"/>
        <v>45.049601998843976</v>
      </c>
      <c r="BM84" s="227">
        <f t="shared" si="318"/>
        <v>31.73</v>
      </c>
      <c r="BN84" s="227">
        <f t="shared" si="319"/>
        <v>23.800066740778078</v>
      </c>
      <c r="BO84" s="227">
        <f t="shared" si="320"/>
        <v>22.594667924871228</v>
      </c>
      <c r="BP84" s="227">
        <f t="shared" si="321"/>
        <v>23.800066740778078</v>
      </c>
      <c r="BQ84" s="227">
        <f t="shared" si="322"/>
        <v>15.17</v>
      </c>
      <c r="BR84" s="227">
        <f t="shared" si="323"/>
        <v>13.718084952874001</v>
      </c>
      <c r="BS84" s="227">
        <f t="shared" si="324"/>
        <v>19.95</v>
      </c>
      <c r="BT84" s="227">
        <f t="shared" si="237"/>
        <v>21.537555194185909</v>
      </c>
      <c r="BU84" s="227">
        <f t="shared" si="238"/>
        <v>6.0477480787235089</v>
      </c>
      <c r="BV84" s="227">
        <f t="shared" si="325"/>
        <v>28.08001197998604</v>
      </c>
      <c r="BX84" s="231">
        <f t="shared" si="326"/>
        <v>0.32580822734515102</v>
      </c>
      <c r="BY84" s="231">
        <f t="shared" si="327"/>
        <v>0.28603644674561046</v>
      </c>
      <c r="BZ84" s="231">
        <f t="shared" si="328"/>
        <v>0.31557778696980676</v>
      </c>
      <c r="CA84" s="231">
        <f t="shared" si="329"/>
        <v>0.24</v>
      </c>
      <c r="CB84" s="231">
        <f t="shared" si="330"/>
        <v>0.35608552163624652</v>
      </c>
      <c r="CC84" s="231">
        <f t="shared" si="331"/>
        <v>0.30881286987919188</v>
      </c>
      <c r="CD84" s="231">
        <f t="shared" si="332"/>
        <v>0.48</v>
      </c>
      <c r="CE84" s="231">
        <f t="shared" si="333"/>
        <v>0.44673361590464555</v>
      </c>
      <c r="CF84" s="231">
        <f t="shared" si="334"/>
        <v>0.34488180856008149</v>
      </c>
      <c r="CG84" s="231">
        <f t="shared" si="335"/>
        <v>8.0837319349457301E-2</v>
      </c>
      <c r="CH84" s="231">
        <f t="shared" si="239"/>
        <v>23.439136928376065</v>
      </c>
      <c r="CJ84" s="232">
        <f t="shared" si="336"/>
        <v>1.4679266234640749</v>
      </c>
      <c r="CK84" s="232">
        <f t="shared" si="337"/>
        <v>1.4679266234640749</v>
      </c>
      <c r="CL84" s="232">
        <f t="shared" si="338"/>
        <v>2.1</v>
      </c>
      <c r="CM84" s="232">
        <f t="shared" si="339"/>
        <v>1.803716231444392</v>
      </c>
      <c r="CN84" s="232">
        <f t="shared" si="340"/>
        <v>1.722860196992986</v>
      </c>
      <c r="CO84" s="232">
        <f t="shared" si="341"/>
        <v>1.4902952458294578</v>
      </c>
      <c r="CP84" s="232">
        <f t="shared" si="342"/>
        <v>1.4688512568681991</v>
      </c>
      <c r="CQ84" s="232">
        <f t="shared" si="343"/>
        <v>1.81858737882615</v>
      </c>
      <c r="CR84" s="232">
        <f t="shared" si="344"/>
        <v>3.8782357459647114</v>
      </c>
      <c r="CS84" s="232">
        <f t="shared" si="345"/>
        <v>1.41</v>
      </c>
      <c r="CT84" s="232">
        <f t="shared" si="346"/>
        <v>1.3823072198610933</v>
      </c>
      <c r="CU84" s="232">
        <f t="shared" si="347"/>
        <v>1.8191551384286491</v>
      </c>
      <c r="CV84" s="232">
        <f t="shared" si="348"/>
        <v>0.7186116330572816</v>
      </c>
      <c r="CW84" s="232">
        <f t="shared" si="240"/>
        <v>39.502493101165875</v>
      </c>
      <c r="CY84" s="229">
        <f t="shared" si="241"/>
        <v>1.19</v>
      </c>
      <c r="CZ84" s="229">
        <f t="shared" si="242"/>
        <v>0.78580558384338106</v>
      </c>
      <c r="DA84" s="229">
        <f t="shared" si="243"/>
        <v>0.51357851285005252</v>
      </c>
      <c r="DB84" s="229">
        <f t="shared" si="244"/>
        <v>1.1671747695931516</v>
      </c>
      <c r="DC84" s="229">
        <f t="shared" si="245"/>
        <v>0.57999999999999996</v>
      </c>
      <c r="DD84" s="229">
        <f t="shared" si="246"/>
        <v>0.54186926590325313</v>
      </c>
      <c r="DE84" s="229">
        <f t="shared" si="247"/>
        <v>0.8</v>
      </c>
      <c r="DF84" s="229">
        <f t="shared" si="248"/>
        <v>0.79691830459854829</v>
      </c>
      <c r="DG84" s="229">
        <f t="shared" si="249"/>
        <v>0.28405429619953915</v>
      </c>
      <c r="DH84" s="229">
        <f t="shared" si="250"/>
        <v>35.644092319178561</v>
      </c>
      <c r="DJ84" s="234">
        <f t="shared" si="349"/>
        <v>0.11456664479097352</v>
      </c>
      <c r="DK84" s="234">
        <f t="shared" si="350"/>
        <v>0.15481979025807233</v>
      </c>
      <c r="DL84" s="234">
        <f t="shared" si="351"/>
        <v>0.11297569760958684</v>
      </c>
      <c r="DM84" s="234">
        <f t="shared" si="251"/>
        <v>0.12745404421954423</v>
      </c>
      <c r="DN84" s="234">
        <f t="shared" si="252"/>
        <v>2.3712777577023701E-2</v>
      </c>
      <c r="DO84" s="234">
        <f t="shared" si="253"/>
        <v>18.604962849336957</v>
      </c>
      <c r="DQ84" s="229">
        <f t="shared" si="352"/>
        <v>3.49</v>
      </c>
      <c r="DR84" s="229">
        <f t="shared" si="353"/>
        <v>3.7591056744581355</v>
      </c>
      <c r="DS84" s="229">
        <f t="shared" si="354"/>
        <v>2.9442579724461941</v>
      </c>
      <c r="DT84" s="229">
        <f t="shared" si="355"/>
        <v>2.5982781472250682</v>
      </c>
      <c r="DU84" s="229">
        <f t="shared" si="356"/>
        <v>3.7591056744581355</v>
      </c>
      <c r="DV84" s="229">
        <f t="shared" si="357"/>
        <v>1.97</v>
      </c>
      <c r="DW84" s="229">
        <f t="shared" si="358"/>
        <v>3.0640000000000001</v>
      </c>
      <c r="DX84" s="229">
        <f t="shared" si="359"/>
        <v>3.2521116351514534</v>
      </c>
      <c r="DY84" s="229">
        <f t="shared" si="254"/>
        <v>3.1046073879673735</v>
      </c>
      <c r="DZ84" s="229">
        <f t="shared" si="255"/>
        <v>0.60922492940523465</v>
      </c>
      <c r="EA84" s="229">
        <f t="shared" si="256"/>
        <v>19.623251937311856</v>
      </c>
      <c r="EC84" s="235">
        <f t="shared" si="360"/>
        <v>0.2081418071207346</v>
      </c>
      <c r="ED84" s="235">
        <f t="shared" si="361"/>
        <v>0.15</v>
      </c>
      <c r="EE84" s="235">
        <f t="shared" si="362"/>
        <v>0.17030176928387955</v>
      </c>
      <c r="EF84" s="235">
        <f t="shared" si="363"/>
        <v>0.14229125858428818</v>
      </c>
      <c r="EG84" s="235">
        <f t="shared" si="364"/>
        <v>0.16768370874722557</v>
      </c>
      <c r="EH84" s="235">
        <f t="shared" si="365"/>
        <v>2.9446007342864563E-2</v>
      </c>
      <c r="EI84" s="235">
        <f t="shared" si="257"/>
        <v>17.56044612971489</v>
      </c>
      <c r="EK84" s="236">
        <f t="shared" si="366"/>
        <v>20.705381659388649</v>
      </c>
      <c r="EL84" s="236">
        <f t="shared" si="367"/>
        <v>31.174270163046721</v>
      </c>
      <c r="EM84" s="236">
        <f t="shared" si="368"/>
        <v>31.842972587381741</v>
      </c>
      <c r="EN84" s="236">
        <f t="shared" si="369"/>
        <v>14.4</v>
      </c>
      <c r="EO84" s="236">
        <f t="shared" si="370"/>
        <v>32.05982534815535</v>
      </c>
      <c r="EP84" s="236">
        <f t="shared" si="371"/>
        <v>31.842972587381741</v>
      </c>
      <c r="EQ84" s="236">
        <f t="shared" si="372"/>
        <v>30.933694458733946</v>
      </c>
      <c r="ER84" s="236">
        <f t="shared" si="373"/>
        <v>27.56558811486974</v>
      </c>
      <c r="ES84" s="236">
        <f t="shared" si="374"/>
        <v>7.0893355783065664</v>
      </c>
      <c r="ET84" s="236">
        <f t="shared" si="258"/>
        <v>25.718063945395592</v>
      </c>
      <c r="EV84" s="238">
        <f t="shared" si="375"/>
        <v>1.5481979025807233E-2</v>
      </c>
      <c r="EW84" s="238">
        <f t="shared" si="376"/>
        <v>1.5481979025807233E-2</v>
      </c>
      <c r="EX84" s="238" t="e">
        <f t="shared" si="377"/>
        <v>#DIV/0!</v>
      </c>
      <c r="EY84" s="238" t="e">
        <f t="shared" si="259"/>
        <v>#DIV/0!</v>
      </c>
      <c r="FA84" s="240">
        <f t="shared" si="378"/>
        <v>0.47994134980002418</v>
      </c>
      <c r="FB84" s="240">
        <f t="shared" si="379"/>
        <v>0.64482442642487126</v>
      </c>
      <c r="FC84" s="240">
        <f t="shared" si="380"/>
        <v>0.56238288811244774</v>
      </c>
      <c r="FD84" s="240">
        <f t="shared" si="381"/>
        <v>0.11658994158433</v>
      </c>
      <c r="FE84" s="240">
        <f t="shared" si="260"/>
        <v>20.73141698454701</v>
      </c>
      <c r="FG84" s="236">
        <f t="shared" si="382"/>
        <v>1.2</v>
      </c>
      <c r="FH84" s="236">
        <f t="shared" si="383"/>
        <v>1.3149253603328284</v>
      </c>
      <c r="FI84" s="236">
        <f t="shared" si="384"/>
        <v>1.2772632696290966</v>
      </c>
      <c r="FJ84" s="236">
        <f t="shared" si="385"/>
        <v>0.92</v>
      </c>
      <c r="FK84" s="236">
        <f t="shared" si="386"/>
        <v>1.2385583220645786</v>
      </c>
      <c r="FL84" s="236">
        <f t="shared" si="387"/>
        <v>0.9</v>
      </c>
      <c r="FM84" s="236">
        <f t="shared" si="388"/>
        <v>1.141791158671084</v>
      </c>
      <c r="FN84" s="236">
        <f t="shared" si="389"/>
        <v>0.1837033370566335</v>
      </c>
      <c r="FO84" s="236">
        <f t="shared" si="261"/>
        <v>16.089048830124366</v>
      </c>
      <c r="FQ84" s="227">
        <f t="shared" si="390"/>
        <v>0.32</v>
      </c>
      <c r="FR84" s="227">
        <f t="shared" si="391"/>
        <v>0.33772528521800244</v>
      </c>
      <c r="FS84" s="227">
        <f t="shared" si="392"/>
        <v>0.33772528521800244</v>
      </c>
      <c r="FT84" s="227">
        <f t="shared" si="393"/>
        <v>0.24</v>
      </c>
      <c r="FU84" s="227">
        <f t="shared" si="394"/>
        <v>0.32256703300269363</v>
      </c>
      <c r="FV84" s="227">
        <f t="shared" si="262"/>
        <v>0.31160352068773972</v>
      </c>
      <c r="FW84" s="227">
        <f t="shared" si="263"/>
        <v>4.0873147683870271E-2</v>
      </c>
      <c r="FX84" s="227">
        <f t="shared" si="264"/>
        <v>13.117036544920675</v>
      </c>
      <c r="FZ84" s="230">
        <f t="shared" si="395"/>
        <v>1.6256077977097594</v>
      </c>
      <c r="GA84" s="230">
        <f t="shared" si="396"/>
        <v>2.4700000000000002</v>
      </c>
      <c r="GB84" s="230">
        <f t="shared" si="397"/>
        <v>3.4833998001098054</v>
      </c>
      <c r="GC84" s="230">
        <f t="shared" si="398"/>
        <v>2.5263358659398549</v>
      </c>
      <c r="GD84" s="230">
        <f t="shared" si="399"/>
        <v>0.93017636950676574</v>
      </c>
      <c r="GE84" s="230">
        <f t="shared" si="265"/>
        <v>36.819188693294301</v>
      </c>
      <c r="GG84" s="231">
        <f t="shared" si="400"/>
        <v>0.10837385318065063</v>
      </c>
      <c r="GH84" s="231">
        <f t="shared" si="401"/>
        <v>0.05</v>
      </c>
      <c r="GI84" s="231">
        <f t="shared" si="402"/>
        <v>0.05</v>
      </c>
      <c r="GJ84" s="231">
        <f t="shared" si="403"/>
        <v>0.12014015724026411</v>
      </c>
      <c r="GK84" s="245">
        <f t="shared" si="404"/>
        <v>7.3380052413421368E-2</v>
      </c>
      <c r="GL84" s="231">
        <f t="shared" si="405"/>
        <v>4.0495438663669191E-2</v>
      </c>
      <c r="GM84" s="231">
        <f t="shared" si="266"/>
        <v>55.185894983447149</v>
      </c>
      <c r="GO84" s="246">
        <f t="shared" si="406"/>
        <v>0.18</v>
      </c>
      <c r="GP84" s="246">
        <f t="shared" si="407"/>
        <v>0.17804275879678316</v>
      </c>
      <c r="GQ84" s="247">
        <f t="shared" si="416"/>
        <v>0.17902137939839158</v>
      </c>
      <c r="GR84" s="246">
        <f t="shared" si="420"/>
        <v>1.3839785272123384E-3</v>
      </c>
      <c r="GS84" s="246">
        <f t="shared" si="267"/>
        <v>0.77308002645452345</v>
      </c>
      <c r="GU84" s="249">
        <f t="shared" si="408"/>
        <v>2.1930223290055943E-2</v>
      </c>
      <c r="GV84" s="249">
        <f t="shared" si="409"/>
        <v>2.1930223290055943E-2</v>
      </c>
      <c r="GW84" s="249" t="e">
        <f t="shared" si="410"/>
        <v>#DIV/0!</v>
      </c>
      <c r="GX84" s="249" t="e">
        <f t="shared" si="268"/>
        <v>#DIV/0!</v>
      </c>
      <c r="GZ84" s="240">
        <f t="shared" si="411"/>
        <v>2.322296853871085E-2</v>
      </c>
      <c r="HA84" s="240">
        <f t="shared" si="412"/>
        <v>2.322296853871085E-2</v>
      </c>
      <c r="HB84" s="240" t="e">
        <f t="shared" si="413"/>
        <v>#DIV/0!</v>
      </c>
      <c r="HC84" s="240" t="e">
        <f t="shared" si="269"/>
        <v>#DIV/0!</v>
      </c>
      <c r="HE84" s="234">
        <f t="shared" si="414"/>
        <v>9.1687575203553015E-2</v>
      </c>
      <c r="HF84" s="234">
        <f t="shared" si="415"/>
        <v>9.1687575203553015E-2</v>
      </c>
      <c r="HG84" s="251">
        <f t="shared" si="418"/>
        <v>9.1687575203553015E-2</v>
      </c>
      <c r="HH84" s="234">
        <f t="shared" si="421"/>
        <v>0</v>
      </c>
      <c r="HI84" s="234">
        <f t="shared" si="270"/>
        <v>0</v>
      </c>
    </row>
  </sheetData>
  <sheetProtection algorithmName="SHA-512" hashValue="mtwkkR1csLpN/N4tVTdJzaUU9O2Pckw3OYD9HFkAGpxiPC365+qMMtQYhW6HsHGQdNjdrHaeghM5DZCYFQocBA==" saltValue="xh97hxe3qlXyiM0GYRxzlw==" spinCount="100000" sheet="1" objects="1" scenarios="1"/>
  <mergeCells count="214">
    <mergeCell ref="P2:P3"/>
    <mergeCell ref="Q2:Q3"/>
    <mergeCell ref="S2:S3"/>
    <mergeCell ref="T2:T3"/>
    <mergeCell ref="U2:U3"/>
    <mergeCell ref="V2:V3"/>
    <mergeCell ref="DN2:DN3"/>
    <mergeCell ref="DO2:DO3"/>
    <mergeCell ref="DJ1:DO1"/>
    <mergeCell ref="CY1:DH1"/>
    <mergeCell ref="DJ2:DJ3"/>
    <mergeCell ref="DK2:DK3"/>
    <mergeCell ref="DL2:DL3"/>
    <mergeCell ref="DM2:DM3"/>
    <mergeCell ref="DD2:DD3"/>
    <mergeCell ref="DE2:DE3"/>
    <mergeCell ref="DF2:DF3"/>
    <mergeCell ref="DG2:DG3"/>
    <mergeCell ref="DH2:DH3"/>
    <mergeCell ref="CY2:CY3"/>
    <mergeCell ref="CZ2:CZ3"/>
    <mergeCell ref="DA2:DA3"/>
    <mergeCell ref="DB2:DB3"/>
    <mergeCell ref="DC2:DC3"/>
    <mergeCell ref="AA1:AG1"/>
    <mergeCell ref="AA2:AA3"/>
    <mergeCell ref="AC2:AC3"/>
    <mergeCell ref="AD2:AD3"/>
    <mergeCell ref="AE2:AE3"/>
    <mergeCell ref="AF2:AF3"/>
    <mergeCell ref="AG2:AG3"/>
    <mergeCell ref="AB2:AB3"/>
    <mergeCell ref="E1:N1"/>
    <mergeCell ref="P1:Y1"/>
    <mergeCell ref="E2:E3"/>
    <mergeCell ref="G2:G3"/>
    <mergeCell ref="H2:H3"/>
    <mergeCell ref="I2:I3"/>
    <mergeCell ref="K2:K3"/>
    <mergeCell ref="L2:L3"/>
    <mergeCell ref="M2:M3"/>
    <mergeCell ref="N2:N3"/>
    <mergeCell ref="W2:W3"/>
    <mergeCell ref="X2:X3"/>
    <mergeCell ref="Y2:Y3"/>
    <mergeCell ref="F2:F3"/>
    <mergeCell ref="J2:J3"/>
    <mergeCell ref="R2:R3"/>
    <mergeCell ref="AR2:AR3"/>
    <mergeCell ref="AT1:BD1"/>
    <mergeCell ref="AT2:AT3"/>
    <mergeCell ref="AW2:AW3"/>
    <mergeCell ref="AX2:AX3"/>
    <mergeCell ref="AY2:AY3"/>
    <mergeCell ref="AZ2:AZ3"/>
    <mergeCell ref="BA2:BA3"/>
    <mergeCell ref="BB2:BB3"/>
    <mergeCell ref="AI1:AR1"/>
    <mergeCell ref="AI2:AI3"/>
    <mergeCell ref="AJ2:AJ3"/>
    <mergeCell ref="AK2:AK3"/>
    <mergeCell ref="AL2:AL3"/>
    <mergeCell ref="AM2:AM3"/>
    <mergeCell ref="AN2:AN3"/>
    <mergeCell ref="BC2:BC3"/>
    <mergeCell ref="BD2:BD3"/>
    <mergeCell ref="AU2:AU3"/>
    <mergeCell ref="AV2:AV3"/>
    <mergeCell ref="AO2:AO3"/>
    <mergeCell ref="AP2:AP3"/>
    <mergeCell ref="AQ2:AQ3"/>
    <mergeCell ref="BF2:BF3"/>
    <mergeCell ref="BG2:BG3"/>
    <mergeCell ref="BH2:BH3"/>
    <mergeCell ref="BI2:BI3"/>
    <mergeCell ref="BJ2:BJ3"/>
    <mergeCell ref="BF1:BK1"/>
    <mergeCell ref="BK2:BK3"/>
    <mergeCell ref="BM1:BV1"/>
    <mergeCell ref="BM2:BM3"/>
    <mergeCell ref="BN2:BN3"/>
    <mergeCell ref="BO2:BO3"/>
    <mergeCell ref="BP2:BP3"/>
    <mergeCell ref="BQ2:BQ3"/>
    <mergeCell ref="BR2:BR3"/>
    <mergeCell ref="BS2:BS3"/>
    <mergeCell ref="BT2:BT3"/>
    <mergeCell ref="BU2:BU3"/>
    <mergeCell ref="BV2:BV3"/>
    <mergeCell ref="BX1:CH1"/>
    <mergeCell ref="BX2:BX3"/>
    <mergeCell ref="BY2:BY3"/>
    <mergeCell ref="BZ2:BZ3"/>
    <mergeCell ref="CA2:CA3"/>
    <mergeCell ref="CB2:CB3"/>
    <mergeCell ref="CC2:CC3"/>
    <mergeCell ref="CD2:CD3"/>
    <mergeCell ref="CE2:CE3"/>
    <mergeCell ref="CF2:CF3"/>
    <mergeCell ref="CG2:CG3"/>
    <mergeCell ref="CH2:CH3"/>
    <mergeCell ref="CJ1:CW1"/>
    <mergeCell ref="CJ2:CJ3"/>
    <mergeCell ref="CM2:CM3"/>
    <mergeCell ref="CN2:CN3"/>
    <mergeCell ref="CO2:CO3"/>
    <mergeCell ref="CP2:CP3"/>
    <mergeCell ref="CQ2:CQ3"/>
    <mergeCell ref="CR2:CR3"/>
    <mergeCell ref="CT2:CT3"/>
    <mergeCell ref="CU2:CU3"/>
    <mergeCell ref="CV2:CV3"/>
    <mergeCell ref="CW2:CW3"/>
    <mergeCell ref="CL2:CL3"/>
    <mergeCell ref="CK2:CK3"/>
    <mergeCell ref="CS2:CS3"/>
    <mergeCell ref="DQ1:EA1"/>
    <mergeCell ref="DQ2:DQ3"/>
    <mergeCell ref="DR2:DR3"/>
    <mergeCell ref="DS2:DS3"/>
    <mergeCell ref="DT2:DT3"/>
    <mergeCell ref="DV2:DV3"/>
    <mergeCell ref="DW2:DW3"/>
    <mergeCell ref="DX2:DX3"/>
    <mergeCell ref="DY2:DY3"/>
    <mergeCell ref="DZ2:DZ3"/>
    <mergeCell ref="EA2:EA3"/>
    <mergeCell ref="DU2:DU3"/>
    <mergeCell ref="EC2:EC3"/>
    <mergeCell ref="ED2:ED3"/>
    <mergeCell ref="EE2:EE3"/>
    <mergeCell ref="EF2:EF3"/>
    <mergeCell ref="EG2:EG3"/>
    <mergeCell ref="EH2:EH3"/>
    <mergeCell ref="EI2:EI3"/>
    <mergeCell ref="EC1:EI1"/>
    <mergeCell ref="EL2:EL3"/>
    <mergeCell ref="EK1:ET1"/>
    <mergeCell ref="EM2:EM3"/>
    <mergeCell ref="EN2:EN3"/>
    <mergeCell ref="EO2:EO3"/>
    <mergeCell ref="EP2:EP3"/>
    <mergeCell ref="EQ2:EQ3"/>
    <mergeCell ref="ER2:ER3"/>
    <mergeCell ref="ES2:ES3"/>
    <mergeCell ref="ET2:ET3"/>
    <mergeCell ref="EK2:EK3"/>
    <mergeCell ref="EV2:EV3"/>
    <mergeCell ref="EW2:EW3"/>
    <mergeCell ref="EX2:EX3"/>
    <mergeCell ref="EY2:EY3"/>
    <mergeCell ref="EV1:EY1"/>
    <mergeCell ref="FB2:FB3"/>
    <mergeCell ref="FC2:FC3"/>
    <mergeCell ref="FD2:FD3"/>
    <mergeCell ref="FE2:FE3"/>
    <mergeCell ref="FA2:FA3"/>
    <mergeCell ref="FA1:FE1"/>
    <mergeCell ref="FG1:FO1"/>
    <mergeCell ref="FG2:FG3"/>
    <mergeCell ref="FH2:FH3"/>
    <mergeCell ref="FI2:FI3"/>
    <mergeCell ref="FJ2:FJ3"/>
    <mergeCell ref="FK2:FK3"/>
    <mergeCell ref="FL2:FL3"/>
    <mergeCell ref="FM2:FM3"/>
    <mergeCell ref="FN2:FN3"/>
    <mergeCell ref="FO2:FO3"/>
    <mergeCell ref="FQ1:FX1"/>
    <mergeCell ref="FQ2:FQ3"/>
    <mergeCell ref="FR2:FR3"/>
    <mergeCell ref="FS2:FS3"/>
    <mergeCell ref="FT2:FT3"/>
    <mergeCell ref="FU2:FU3"/>
    <mergeCell ref="FV2:FV3"/>
    <mergeCell ref="FW2:FW3"/>
    <mergeCell ref="FX2:FX3"/>
    <mergeCell ref="FZ2:FZ3"/>
    <mergeCell ref="GA2:GA3"/>
    <mergeCell ref="GB2:GB3"/>
    <mergeCell ref="GC2:GC3"/>
    <mergeCell ref="GD2:GD3"/>
    <mergeCell ref="GE2:GE3"/>
    <mergeCell ref="FZ1:GE1"/>
    <mergeCell ref="GH2:GH3"/>
    <mergeCell ref="GI2:GI3"/>
    <mergeCell ref="GJ2:GJ3"/>
    <mergeCell ref="GK2:GK3"/>
    <mergeCell ref="GL2:GL3"/>
    <mergeCell ref="GM2:GM3"/>
    <mergeCell ref="GG2:GG3"/>
    <mergeCell ref="GG1:GM1"/>
    <mergeCell ref="GO1:GS1"/>
    <mergeCell ref="GO2:GO3"/>
    <mergeCell ref="GP2:GP3"/>
    <mergeCell ref="GQ2:GQ3"/>
    <mergeCell ref="GR2:GR3"/>
    <mergeCell ref="GS2:GS3"/>
    <mergeCell ref="HE1:HI1"/>
    <mergeCell ref="HE2:HE3"/>
    <mergeCell ref="HF2:HF3"/>
    <mergeCell ref="HG2:HG3"/>
    <mergeCell ref="HH2:HH3"/>
    <mergeCell ref="HI2:HI3"/>
    <mergeCell ref="GU1:GX1"/>
    <mergeCell ref="GU2:GU3"/>
    <mergeCell ref="GV2:GV3"/>
    <mergeCell ref="GW2:GW3"/>
    <mergeCell ref="GX2:GX3"/>
    <mergeCell ref="GZ1:HC1"/>
    <mergeCell ref="GZ2:GZ3"/>
    <mergeCell ref="HA2:HA3"/>
    <mergeCell ref="HB2:HB3"/>
    <mergeCell ref="HC2:H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H85"/>
  <sheetViews>
    <sheetView topLeftCell="B1" zoomScale="66" workbookViewId="0">
      <pane xSplit="3" topLeftCell="BL1" activePane="topRight" state="frozen"/>
      <selection activeCell="B1" sqref="B1"/>
      <selection pane="topRight" activeCell="CO81" sqref="CO81"/>
    </sheetView>
  </sheetViews>
  <sheetFormatPr baseColWidth="10" defaultColWidth="11.44140625" defaultRowHeight="12.75" customHeight="1" x14ac:dyDescent="0.25"/>
  <cols>
    <col min="2" max="2" width="7.109375" bestFit="1" customWidth="1"/>
    <col min="3" max="3" width="22.88671875" style="49" customWidth="1"/>
    <col min="4" max="4" width="20.88671875" style="49" customWidth="1"/>
    <col min="5" max="9" width="21.88671875" customWidth="1"/>
    <col min="10" max="12" width="10.88671875" style="49"/>
    <col min="14" max="14" width="18.44140625" bestFit="1" customWidth="1"/>
    <col min="15" max="15" width="17.6640625" customWidth="1"/>
    <col min="16" max="16" width="18.33203125" customWidth="1"/>
    <col min="17" max="17" width="20" customWidth="1"/>
    <col min="18" max="18" width="21.6640625" customWidth="1"/>
    <col min="19" max="19" width="22.6640625" customWidth="1"/>
    <col min="20" max="20" width="14.6640625" bestFit="1" customWidth="1"/>
    <col min="21" max="22" width="13.6640625" bestFit="1" customWidth="1"/>
    <col min="24" max="24" width="18.44140625" customWidth="1"/>
    <col min="25" max="26" width="19" customWidth="1"/>
    <col min="31" max="31" width="18.44140625" customWidth="1"/>
    <col min="32" max="37" width="19" customWidth="1"/>
    <col min="42" max="43" width="18.44140625" customWidth="1"/>
    <col min="44" max="50" width="19" customWidth="1"/>
    <col min="51" max="52" width="9.109375"/>
    <col min="55" max="58" width="19" customWidth="1"/>
    <col min="59" max="60" width="9.109375"/>
    <col min="63" max="63" width="18.44140625" customWidth="1"/>
    <col min="64" max="69" width="19" customWidth="1"/>
    <col min="70" max="72" width="9.109375" bestFit="1" customWidth="1"/>
    <col min="74" max="75" width="18.44140625" customWidth="1"/>
    <col min="76" max="81" width="19" customWidth="1"/>
    <col min="82" max="84" width="9.109375" bestFit="1" customWidth="1"/>
    <col min="86" max="89" width="18.44140625" customWidth="1"/>
    <col min="90" max="95" width="19" customWidth="1"/>
    <col min="96" max="98" width="9.109375" bestFit="1" customWidth="1"/>
    <col min="100" max="101" width="18.44140625" customWidth="1"/>
    <col min="102" max="107" width="19" customWidth="1"/>
    <col min="108" max="110" width="9.109375" bestFit="1" customWidth="1"/>
    <col min="112" max="114" width="19" customWidth="1"/>
    <col min="115" max="117" width="9.109375" bestFit="1" customWidth="1"/>
    <col min="119" max="120" width="18.44140625" customWidth="1"/>
    <col min="121" max="126" width="19" customWidth="1"/>
    <col min="127" max="129" width="9.109375" bestFit="1" customWidth="1"/>
    <col min="131" max="135" width="19" customWidth="1"/>
    <col min="136" max="138" width="9.109375" bestFit="1" customWidth="1"/>
    <col min="140" max="140" width="15.6640625" customWidth="1"/>
    <col min="141" max="146" width="19" customWidth="1"/>
    <col min="147" max="149" width="9.109375" bestFit="1" customWidth="1"/>
    <col min="151" max="151" width="19" customWidth="1"/>
    <col min="152" max="154" width="9.109375" bestFit="1" customWidth="1"/>
    <col min="156" max="156" width="19" customWidth="1"/>
    <col min="157" max="159" width="9.109375" bestFit="1" customWidth="1"/>
    <col min="161" max="166" width="19" customWidth="1"/>
    <col min="167" max="169" width="9.109375" bestFit="1" customWidth="1"/>
    <col min="171" max="175" width="19" customWidth="1"/>
    <col min="176" max="178" width="9.109375" bestFit="1" customWidth="1"/>
    <col min="180" max="183" width="19" customWidth="1"/>
    <col min="184" max="186" width="9.109375" bestFit="1" customWidth="1"/>
    <col min="188" max="191" width="19" customWidth="1"/>
    <col min="192" max="194" width="9.109375" bestFit="1" customWidth="1"/>
    <col min="196" max="198" width="19" customWidth="1"/>
    <col min="199" max="201" width="9.109375" bestFit="1" customWidth="1"/>
    <col min="203" max="203" width="19" customWidth="1"/>
    <col min="204" max="206" width="9.109375" bestFit="1" customWidth="1"/>
    <col min="207" max="207" width="9.109375"/>
    <col min="208" max="208" width="19" customWidth="1"/>
    <col min="209" max="211" width="9.109375" bestFit="1" customWidth="1"/>
    <col min="212" max="212" width="9.109375"/>
    <col min="213" max="213" width="19" customWidth="1"/>
    <col min="214" max="216" width="9.109375" bestFit="1" customWidth="1"/>
  </cols>
  <sheetData>
    <row r="1" spans="1:216" ht="20.100000000000001" customHeight="1" x14ac:dyDescent="0.4">
      <c r="B1" s="136" t="s">
        <v>351</v>
      </c>
      <c r="C1" s="139" t="s">
        <v>384</v>
      </c>
      <c r="D1" s="139" t="s">
        <v>385</v>
      </c>
      <c r="E1" s="395" t="s">
        <v>296</v>
      </c>
      <c r="F1" s="395"/>
      <c r="G1" s="395"/>
      <c r="H1" s="395"/>
      <c r="I1" s="395"/>
      <c r="J1" s="395"/>
      <c r="K1" s="395"/>
      <c r="L1" s="395"/>
      <c r="N1" s="396" t="s">
        <v>386</v>
      </c>
      <c r="O1" s="396"/>
      <c r="P1" s="396"/>
      <c r="Q1" s="396"/>
      <c r="R1" s="396"/>
      <c r="S1" s="396"/>
      <c r="T1" s="396"/>
      <c r="U1" s="396"/>
      <c r="V1" s="396"/>
      <c r="X1" s="394" t="s">
        <v>409</v>
      </c>
      <c r="Y1" s="394"/>
      <c r="Z1" s="394"/>
      <c r="AA1" s="394"/>
      <c r="AB1" s="394"/>
      <c r="AC1" s="394"/>
      <c r="AD1" s="136"/>
      <c r="AE1" s="394" t="s">
        <v>387</v>
      </c>
      <c r="AF1" s="394"/>
      <c r="AG1" s="394"/>
      <c r="AH1" s="394"/>
      <c r="AI1" s="394"/>
      <c r="AJ1" s="394"/>
      <c r="AK1" s="394"/>
      <c r="AL1" s="394"/>
      <c r="AM1" s="394"/>
      <c r="AN1" s="394"/>
      <c r="AP1" s="394" t="s">
        <v>388</v>
      </c>
      <c r="AQ1" s="394"/>
      <c r="AR1" s="394"/>
      <c r="AS1" s="394"/>
      <c r="AT1" s="394"/>
      <c r="AU1" s="394"/>
      <c r="AV1" s="394"/>
      <c r="AW1" s="394"/>
      <c r="AX1" s="394"/>
      <c r="AY1" s="394"/>
      <c r="AZ1" s="394"/>
      <c r="BA1" s="394"/>
      <c r="BC1" s="394" t="s">
        <v>389</v>
      </c>
      <c r="BD1" s="394"/>
      <c r="BE1" s="394"/>
      <c r="BF1" s="394"/>
      <c r="BG1" s="394"/>
      <c r="BH1" s="394"/>
      <c r="BI1" s="394"/>
      <c r="BJ1" s="136"/>
      <c r="BK1" s="386" t="s">
        <v>390</v>
      </c>
      <c r="BL1" s="386"/>
      <c r="BM1" s="386"/>
      <c r="BN1" s="386"/>
      <c r="BO1" s="386"/>
      <c r="BP1" s="386"/>
      <c r="BQ1" s="386"/>
      <c r="BR1" s="386"/>
      <c r="BS1" s="386"/>
      <c r="BT1" s="386"/>
      <c r="BV1" s="386" t="s">
        <v>391</v>
      </c>
      <c r="BW1" s="386"/>
      <c r="BX1" s="386"/>
      <c r="BY1" s="386"/>
      <c r="BZ1" s="386"/>
      <c r="CA1" s="386"/>
      <c r="CB1" s="386"/>
      <c r="CC1" s="386"/>
      <c r="CD1" s="386"/>
      <c r="CE1" s="386"/>
      <c r="CF1" s="386"/>
      <c r="CH1" s="386" t="s">
        <v>392</v>
      </c>
      <c r="CI1" s="386"/>
      <c r="CJ1" s="386"/>
      <c r="CK1" s="386"/>
      <c r="CL1" s="386"/>
      <c r="CM1" s="386"/>
      <c r="CN1" s="386"/>
      <c r="CO1" s="386"/>
      <c r="CP1" s="386"/>
      <c r="CQ1" s="386"/>
      <c r="CR1" s="386"/>
      <c r="CS1" s="386"/>
      <c r="CT1" s="386"/>
      <c r="CV1" s="386" t="s">
        <v>393</v>
      </c>
      <c r="CW1" s="386"/>
      <c r="CX1" s="386"/>
      <c r="CY1" s="386"/>
      <c r="CZ1" s="386"/>
      <c r="DA1" s="386"/>
      <c r="DB1" s="386"/>
      <c r="DC1" s="386"/>
      <c r="DD1" s="386"/>
      <c r="DE1" s="386"/>
      <c r="DF1" s="386"/>
      <c r="DG1" s="233"/>
      <c r="DH1" s="386" t="s">
        <v>394</v>
      </c>
      <c r="DI1" s="386"/>
      <c r="DJ1" s="386"/>
      <c r="DK1" s="386"/>
      <c r="DL1" s="386"/>
      <c r="DM1" s="386"/>
      <c r="DO1" s="386" t="s">
        <v>395</v>
      </c>
      <c r="DP1" s="386"/>
      <c r="DQ1" s="386"/>
      <c r="DR1" s="386"/>
      <c r="DS1" s="386"/>
      <c r="DT1" s="386"/>
      <c r="DU1" s="386"/>
      <c r="DV1" s="386"/>
      <c r="DW1" s="386"/>
      <c r="DX1" s="386"/>
      <c r="DY1" s="386"/>
      <c r="EA1" s="386" t="s">
        <v>396</v>
      </c>
      <c r="EB1" s="386"/>
      <c r="EC1" s="386"/>
      <c r="ED1" s="386"/>
      <c r="EE1" s="386"/>
      <c r="EF1" s="386"/>
      <c r="EG1" s="386"/>
      <c r="EH1" s="386"/>
      <c r="EJ1" s="386" t="s">
        <v>397</v>
      </c>
      <c r="EK1" s="386"/>
      <c r="EL1" s="386"/>
      <c r="EM1" s="386"/>
      <c r="EN1" s="386"/>
      <c r="EO1" s="386"/>
      <c r="EP1" s="386"/>
      <c r="EQ1" s="386"/>
      <c r="ER1" s="386"/>
      <c r="ES1" s="386"/>
      <c r="EU1" s="386" t="s">
        <v>398</v>
      </c>
      <c r="EV1" s="386"/>
      <c r="EW1" s="386"/>
      <c r="EX1" s="386"/>
      <c r="EZ1" s="386" t="s">
        <v>399</v>
      </c>
      <c r="FA1" s="386"/>
      <c r="FB1" s="386"/>
      <c r="FC1" s="386"/>
      <c r="FE1" s="386" t="s">
        <v>400</v>
      </c>
      <c r="FF1" s="386"/>
      <c r="FG1" s="386"/>
      <c r="FH1" s="386"/>
      <c r="FI1" s="386"/>
      <c r="FJ1" s="386"/>
      <c r="FK1" s="386"/>
      <c r="FL1" s="386"/>
      <c r="FM1" s="389"/>
      <c r="FO1" s="386" t="s">
        <v>401</v>
      </c>
      <c r="FP1" s="386"/>
      <c r="FQ1" s="386"/>
      <c r="FR1" s="386"/>
      <c r="FS1" s="386"/>
      <c r="FT1" s="386"/>
      <c r="FU1" s="386"/>
      <c r="FV1" s="389"/>
      <c r="FX1" s="386" t="s">
        <v>402</v>
      </c>
      <c r="FY1" s="386"/>
      <c r="FZ1" s="386"/>
      <c r="GA1" s="386"/>
      <c r="GB1" s="386"/>
      <c r="GC1" s="386"/>
      <c r="GD1" s="386"/>
      <c r="GF1" s="386" t="s">
        <v>403</v>
      </c>
      <c r="GG1" s="386"/>
      <c r="GH1" s="386"/>
      <c r="GI1" s="386"/>
      <c r="GJ1" s="386"/>
      <c r="GK1" s="386"/>
      <c r="GL1" s="386"/>
      <c r="GN1" s="381" t="s">
        <v>404</v>
      </c>
      <c r="GO1" s="381"/>
      <c r="GP1" s="381"/>
      <c r="GQ1" s="381"/>
      <c r="GR1" s="381"/>
      <c r="GS1" s="381"/>
      <c r="GU1" s="386" t="s">
        <v>405</v>
      </c>
      <c r="GV1" s="386"/>
      <c r="GW1" s="386"/>
      <c r="GX1" s="386"/>
      <c r="GZ1" s="386" t="s">
        <v>406</v>
      </c>
      <c r="HA1" s="386"/>
      <c r="HB1" s="386"/>
      <c r="HC1" s="386"/>
      <c r="HE1" s="381" t="s">
        <v>407</v>
      </c>
      <c r="HF1" s="381"/>
      <c r="HG1" s="381"/>
      <c r="HH1" s="381"/>
    </row>
    <row r="2" spans="1:216" ht="12.9" customHeight="1" x14ac:dyDescent="0.25">
      <c r="A2" t="s">
        <v>351</v>
      </c>
      <c r="C2" s="49" t="s">
        <v>42</v>
      </c>
      <c r="D2" s="49" t="s">
        <v>47</v>
      </c>
      <c r="E2" s="328" t="s">
        <v>62</v>
      </c>
      <c r="F2" s="328" t="s">
        <v>65</v>
      </c>
      <c r="G2" s="328" t="s">
        <v>51</v>
      </c>
      <c r="H2" s="328" t="s">
        <v>64</v>
      </c>
      <c r="I2" s="328" t="s">
        <v>59</v>
      </c>
      <c r="J2" s="397" t="s">
        <v>357</v>
      </c>
      <c r="K2" s="397" t="s">
        <v>408</v>
      </c>
      <c r="L2" s="397" t="s">
        <v>329</v>
      </c>
      <c r="N2" s="401" t="s">
        <v>62</v>
      </c>
      <c r="O2" s="399" t="s">
        <v>69</v>
      </c>
      <c r="P2" s="328" t="s">
        <v>65</v>
      </c>
      <c r="Q2" s="328" t="s">
        <v>51</v>
      </c>
      <c r="R2" s="328" t="s">
        <v>64</v>
      </c>
      <c r="S2" s="399" t="s">
        <v>77</v>
      </c>
      <c r="T2" s="397" t="s">
        <v>357</v>
      </c>
      <c r="U2" s="397" t="s">
        <v>408</v>
      </c>
      <c r="V2" s="397" t="s">
        <v>329</v>
      </c>
      <c r="X2" s="392" t="s">
        <v>62</v>
      </c>
      <c r="Y2" s="392" t="s">
        <v>90</v>
      </c>
      <c r="Z2" s="392" t="s">
        <v>64</v>
      </c>
      <c r="AA2" s="393" t="s">
        <v>357</v>
      </c>
      <c r="AB2" s="393" t="s">
        <v>408</v>
      </c>
      <c r="AC2" s="393" t="s">
        <v>329</v>
      </c>
      <c r="AE2" s="392" t="s">
        <v>62</v>
      </c>
      <c r="AF2" s="392" t="s">
        <v>69</v>
      </c>
      <c r="AG2" s="390" t="s">
        <v>64</v>
      </c>
      <c r="AH2" s="390" t="s">
        <v>102</v>
      </c>
      <c r="AI2" s="390" t="s">
        <v>94</v>
      </c>
      <c r="AJ2" s="390" t="s">
        <v>77</v>
      </c>
      <c r="AK2" s="392" t="s">
        <v>59</v>
      </c>
      <c r="AL2" s="393" t="s">
        <v>357</v>
      </c>
      <c r="AM2" s="393" t="s">
        <v>408</v>
      </c>
      <c r="AN2" s="393" t="s">
        <v>329</v>
      </c>
      <c r="AP2" s="392" t="s">
        <v>62</v>
      </c>
      <c r="AQ2" s="390" t="s">
        <v>69</v>
      </c>
      <c r="AR2" s="390" t="s">
        <v>90</v>
      </c>
      <c r="AS2" s="390" t="s">
        <v>65</v>
      </c>
      <c r="AT2" s="390" t="s">
        <v>64</v>
      </c>
      <c r="AU2" s="390" t="s">
        <v>102</v>
      </c>
      <c r="AV2" s="390" t="s">
        <v>94</v>
      </c>
      <c r="AW2" s="390" t="s">
        <v>77</v>
      </c>
      <c r="AX2" s="392" t="s">
        <v>59</v>
      </c>
      <c r="AY2" s="393" t="s">
        <v>357</v>
      </c>
      <c r="AZ2" s="393" t="s">
        <v>408</v>
      </c>
      <c r="BA2" s="393" t="s">
        <v>329</v>
      </c>
      <c r="BC2" s="390" t="s">
        <v>69</v>
      </c>
      <c r="BD2" s="390" t="s">
        <v>90</v>
      </c>
      <c r="BE2" s="390" t="s">
        <v>94</v>
      </c>
      <c r="BF2" s="392" t="s">
        <v>59</v>
      </c>
      <c r="BG2" s="393" t="s">
        <v>357</v>
      </c>
      <c r="BH2" s="393" t="s">
        <v>408</v>
      </c>
      <c r="BI2" s="393" t="s">
        <v>329</v>
      </c>
      <c r="BK2" s="382" t="s">
        <v>69</v>
      </c>
      <c r="BL2" s="382" t="s">
        <v>90</v>
      </c>
      <c r="BM2" s="382" t="s">
        <v>51</v>
      </c>
      <c r="BN2" s="382" t="s">
        <v>102</v>
      </c>
      <c r="BO2" s="382" t="s">
        <v>94</v>
      </c>
      <c r="BP2" s="382" t="s">
        <v>77</v>
      </c>
      <c r="BQ2" s="387" t="s">
        <v>59</v>
      </c>
      <c r="BR2" s="384" t="s">
        <v>357</v>
      </c>
      <c r="BS2" s="384" t="s">
        <v>408</v>
      </c>
      <c r="BT2" s="384" t="s">
        <v>329</v>
      </c>
      <c r="BV2" s="382" t="s">
        <v>69</v>
      </c>
      <c r="BW2" s="382" t="s">
        <v>65</v>
      </c>
      <c r="BX2" s="382" t="s">
        <v>102</v>
      </c>
      <c r="BY2" s="382" t="s">
        <v>94</v>
      </c>
      <c r="BZ2" s="382" t="s">
        <v>77</v>
      </c>
      <c r="CA2" s="382" t="s">
        <v>59</v>
      </c>
      <c r="CB2" s="382" t="s">
        <v>90</v>
      </c>
      <c r="CC2" s="387" t="s">
        <v>64</v>
      </c>
      <c r="CD2" s="384" t="s">
        <v>357</v>
      </c>
      <c r="CE2" s="384" t="s">
        <v>408</v>
      </c>
      <c r="CF2" s="384" t="s">
        <v>329</v>
      </c>
      <c r="CH2" s="382" t="s">
        <v>62</v>
      </c>
      <c r="CI2" s="382" t="s">
        <v>69</v>
      </c>
      <c r="CJ2" s="382" t="s">
        <v>90</v>
      </c>
      <c r="CK2" s="382" t="s">
        <v>77</v>
      </c>
      <c r="CL2" s="382" t="s">
        <v>65</v>
      </c>
      <c r="CM2" s="382" t="s">
        <v>51</v>
      </c>
      <c r="CN2" s="382" t="s">
        <v>64</v>
      </c>
      <c r="CO2" s="382" t="s">
        <v>102</v>
      </c>
      <c r="CP2" s="382" t="s">
        <v>94</v>
      </c>
      <c r="CQ2" s="387" t="s">
        <v>59</v>
      </c>
      <c r="CR2" s="384" t="s">
        <v>357</v>
      </c>
      <c r="CS2" s="384" t="s">
        <v>408</v>
      </c>
      <c r="CT2" s="384" t="s">
        <v>329</v>
      </c>
      <c r="CV2" s="382" t="s">
        <v>69</v>
      </c>
      <c r="CW2" s="382" t="s">
        <v>90</v>
      </c>
      <c r="CX2" s="382" t="s">
        <v>65</v>
      </c>
      <c r="CY2" s="382" t="s">
        <v>64</v>
      </c>
      <c r="CZ2" s="382" t="s">
        <v>102</v>
      </c>
      <c r="DA2" s="382" t="s">
        <v>94</v>
      </c>
      <c r="DB2" s="382" t="s">
        <v>77</v>
      </c>
      <c r="DC2" s="387" t="s">
        <v>59</v>
      </c>
      <c r="DD2" s="384" t="s">
        <v>357</v>
      </c>
      <c r="DE2" s="384" t="s">
        <v>408</v>
      </c>
      <c r="DF2" s="385" t="s">
        <v>329</v>
      </c>
      <c r="DH2" s="382" t="s">
        <v>102</v>
      </c>
      <c r="DI2" s="382" t="s">
        <v>77</v>
      </c>
      <c r="DJ2" s="387" t="s">
        <v>59</v>
      </c>
      <c r="DK2" s="384" t="s">
        <v>357</v>
      </c>
      <c r="DL2" s="384" t="s">
        <v>408</v>
      </c>
      <c r="DM2" s="384" t="s">
        <v>329</v>
      </c>
      <c r="DO2" s="382" t="s">
        <v>69</v>
      </c>
      <c r="DP2" s="382" t="s">
        <v>90</v>
      </c>
      <c r="DQ2" s="382" t="s">
        <v>51</v>
      </c>
      <c r="DR2" s="382" t="s">
        <v>64</v>
      </c>
      <c r="DS2" s="382" t="s">
        <v>102</v>
      </c>
      <c r="DT2" s="382" t="s">
        <v>94</v>
      </c>
      <c r="DU2" s="382" t="s">
        <v>77</v>
      </c>
      <c r="DV2" s="387" t="s">
        <v>59</v>
      </c>
      <c r="DW2" s="384" t="s">
        <v>357</v>
      </c>
      <c r="DX2" s="384" t="s">
        <v>408</v>
      </c>
      <c r="DY2" s="385" t="s">
        <v>329</v>
      </c>
      <c r="EA2" s="382" t="s">
        <v>69</v>
      </c>
      <c r="EB2" s="382" t="s">
        <v>410</v>
      </c>
      <c r="EC2" s="382" t="s">
        <v>94</v>
      </c>
      <c r="ED2" s="382" t="s">
        <v>77</v>
      </c>
      <c r="EE2" s="387" t="s">
        <v>59</v>
      </c>
      <c r="EF2" s="384" t="s">
        <v>357</v>
      </c>
      <c r="EG2" s="384" t="s">
        <v>408</v>
      </c>
      <c r="EH2" s="385" t="s">
        <v>329</v>
      </c>
      <c r="EJ2" s="382" t="s">
        <v>94</v>
      </c>
      <c r="EK2" s="382" t="s">
        <v>62</v>
      </c>
      <c r="EL2" s="382" t="s">
        <v>69</v>
      </c>
      <c r="EM2" s="382" t="s">
        <v>90</v>
      </c>
      <c r="EN2" s="382" t="s">
        <v>65</v>
      </c>
      <c r="EO2" s="382" t="s">
        <v>64</v>
      </c>
      <c r="EP2" s="387" t="s">
        <v>102</v>
      </c>
      <c r="EQ2" s="384" t="s">
        <v>357</v>
      </c>
      <c r="ER2" s="384" t="s">
        <v>408</v>
      </c>
      <c r="ES2" s="385" t="s">
        <v>329</v>
      </c>
      <c r="EU2" s="387" t="s">
        <v>77</v>
      </c>
      <c r="EV2" s="384" t="s">
        <v>357</v>
      </c>
      <c r="EW2" s="385" t="s">
        <v>408</v>
      </c>
      <c r="EX2" s="384" t="s">
        <v>329</v>
      </c>
      <c r="EZ2" s="387" t="s">
        <v>77</v>
      </c>
      <c r="FA2" s="384" t="s">
        <v>357</v>
      </c>
      <c r="FB2" s="385" t="s">
        <v>408</v>
      </c>
      <c r="FC2" s="384" t="s">
        <v>329</v>
      </c>
      <c r="FE2" s="382" t="s">
        <v>69</v>
      </c>
      <c r="FF2" s="382" t="s">
        <v>90</v>
      </c>
      <c r="FG2" s="382" t="s">
        <v>64</v>
      </c>
      <c r="FH2" s="382" t="s">
        <v>102</v>
      </c>
      <c r="FI2" s="382" t="s">
        <v>94</v>
      </c>
      <c r="FJ2" s="382" t="s">
        <v>77</v>
      </c>
      <c r="FK2" s="384" t="s">
        <v>357</v>
      </c>
      <c r="FL2" s="385" t="s">
        <v>408</v>
      </c>
      <c r="FM2" s="384" t="s">
        <v>329</v>
      </c>
      <c r="FO2" s="382" t="s">
        <v>69</v>
      </c>
      <c r="FP2" s="382" t="s">
        <v>90</v>
      </c>
      <c r="FQ2" s="382" t="s">
        <v>94</v>
      </c>
      <c r="FR2" s="382" t="s">
        <v>94</v>
      </c>
      <c r="FS2" s="382" t="s">
        <v>77</v>
      </c>
      <c r="FT2" s="384" t="s">
        <v>357</v>
      </c>
      <c r="FU2" s="385" t="s">
        <v>408</v>
      </c>
      <c r="FV2" s="384" t="s">
        <v>329</v>
      </c>
      <c r="FX2" s="382" t="s">
        <v>411</v>
      </c>
      <c r="FY2" s="382" t="s">
        <v>102</v>
      </c>
      <c r="FZ2" s="382" t="s">
        <v>94</v>
      </c>
      <c r="GA2" s="382" t="s">
        <v>77</v>
      </c>
      <c r="GB2" s="384" t="s">
        <v>357</v>
      </c>
      <c r="GC2" s="385" t="s">
        <v>408</v>
      </c>
      <c r="GD2" s="384" t="s">
        <v>329</v>
      </c>
      <c r="GF2" s="382" t="s">
        <v>69</v>
      </c>
      <c r="GG2" s="382" t="s">
        <v>90</v>
      </c>
      <c r="GH2" s="382" t="s">
        <v>94</v>
      </c>
      <c r="GI2" s="382" t="s">
        <v>77</v>
      </c>
      <c r="GJ2" s="384" t="s">
        <v>357</v>
      </c>
      <c r="GK2" s="385" t="s">
        <v>408</v>
      </c>
      <c r="GL2" s="384" t="s">
        <v>329</v>
      </c>
      <c r="GN2" s="382" t="s">
        <v>69</v>
      </c>
      <c r="GO2" s="382" t="s">
        <v>94</v>
      </c>
      <c r="GP2" s="382" t="s">
        <v>77</v>
      </c>
      <c r="GQ2" s="384" t="s">
        <v>357</v>
      </c>
      <c r="GR2" s="385" t="s">
        <v>408</v>
      </c>
      <c r="GS2" s="384" t="s">
        <v>329</v>
      </c>
      <c r="GU2" s="387" t="s">
        <v>77</v>
      </c>
      <c r="GV2" s="384" t="s">
        <v>357</v>
      </c>
      <c r="GW2" s="385" t="s">
        <v>408</v>
      </c>
      <c r="GX2" s="384" t="s">
        <v>329</v>
      </c>
      <c r="GZ2" s="387" t="s">
        <v>102</v>
      </c>
      <c r="HA2" s="384" t="s">
        <v>357</v>
      </c>
      <c r="HB2" s="385" t="s">
        <v>408</v>
      </c>
      <c r="HC2" s="384" t="s">
        <v>329</v>
      </c>
      <c r="HE2" s="382" t="s">
        <v>51</v>
      </c>
      <c r="HF2" s="384" t="s">
        <v>357</v>
      </c>
      <c r="HG2" s="385" t="s">
        <v>408</v>
      </c>
      <c r="HH2" s="384" t="s">
        <v>329</v>
      </c>
    </row>
    <row r="3" spans="1:216" ht="26.25" customHeight="1" x14ac:dyDescent="0.25">
      <c r="E3" s="328"/>
      <c r="F3" s="328"/>
      <c r="G3" s="328"/>
      <c r="H3" s="328"/>
      <c r="I3" s="328"/>
      <c r="J3" s="397"/>
      <c r="K3" s="397"/>
      <c r="L3" s="397"/>
      <c r="N3" s="402"/>
      <c r="O3" s="403"/>
      <c r="P3" s="399"/>
      <c r="Q3" s="399"/>
      <c r="R3" s="399"/>
      <c r="S3" s="403"/>
      <c r="T3" s="398"/>
      <c r="U3" s="398"/>
      <c r="V3" s="398"/>
      <c r="X3" s="392"/>
      <c r="Y3" s="392"/>
      <c r="Z3" s="392"/>
      <c r="AA3" s="393"/>
      <c r="AB3" s="393"/>
      <c r="AC3" s="393"/>
      <c r="AE3" s="392"/>
      <c r="AF3" s="392"/>
      <c r="AG3" s="391"/>
      <c r="AH3" s="391"/>
      <c r="AI3" s="391"/>
      <c r="AJ3" s="391"/>
      <c r="AK3" s="392"/>
      <c r="AL3" s="393"/>
      <c r="AM3" s="393"/>
      <c r="AN3" s="393"/>
      <c r="AP3" s="392"/>
      <c r="AQ3" s="391"/>
      <c r="AR3" s="391"/>
      <c r="AS3" s="391"/>
      <c r="AT3" s="391"/>
      <c r="AU3" s="391"/>
      <c r="AV3" s="391"/>
      <c r="AW3" s="391"/>
      <c r="AX3" s="392"/>
      <c r="AY3" s="393"/>
      <c r="AZ3" s="393"/>
      <c r="BA3" s="393"/>
      <c r="BC3" s="391"/>
      <c r="BD3" s="391"/>
      <c r="BE3" s="391"/>
      <c r="BF3" s="392"/>
      <c r="BG3" s="393"/>
      <c r="BH3" s="393"/>
      <c r="BI3" s="393"/>
      <c r="BK3" s="388"/>
      <c r="BL3" s="388"/>
      <c r="BM3" s="388"/>
      <c r="BN3" s="388"/>
      <c r="BO3" s="388"/>
      <c r="BP3" s="388"/>
      <c r="BQ3" s="387"/>
      <c r="BR3" s="384"/>
      <c r="BS3" s="384"/>
      <c r="BT3" s="384"/>
      <c r="BV3" s="388"/>
      <c r="BW3" s="388"/>
      <c r="BX3" s="388"/>
      <c r="BY3" s="388"/>
      <c r="BZ3" s="388"/>
      <c r="CA3" s="388"/>
      <c r="CB3" s="388"/>
      <c r="CC3" s="387"/>
      <c r="CD3" s="384"/>
      <c r="CE3" s="384"/>
      <c r="CF3" s="384"/>
      <c r="CH3" s="388"/>
      <c r="CI3" s="388"/>
      <c r="CJ3" s="388"/>
      <c r="CK3" s="388"/>
      <c r="CL3" s="388"/>
      <c r="CM3" s="388"/>
      <c r="CN3" s="388"/>
      <c r="CO3" s="388"/>
      <c r="CP3" s="388"/>
      <c r="CQ3" s="387"/>
      <c r="CR3" s="384"/>
      <c r="CS3" s="384"/>
      <c r="CT3" s="384"/>
      <c r="CV3" s="388"/>
      <c r="CW3" s="388"/>
      <c r="CX3" s="388"/>
      <c r="CY3" s="388"/>
      <c r="CZ3" s="388"/>
      <c r="DA3" s="388"/>
      <c r="DB3" s="388"/>
      <c r="DC3" s="387"/>
      <c r="DD3" s="384"/>
      <c r="DE3" s="384"/>
      <c r="DF3" s="384"/>
      <c r="DH3" s="388"/>
      <c r="DI3" s="388"/>
      <c r="DJ3" s="387"/>
      <c r="DK3" s="384"/>
      <c r="DL3" s="384"/>
      <c r="DM3" s="384"/>
      <c r="DO3" s="388"/>
      <c r="DP3" s="388"/>
      <c r="DQ3" s="388"/>
      <c r="DR3" s="388"/>
      <c r="DS3" s="388"/>
      <c r="DT3" s="388"/>
      <c r="DU3" s="388"/>
      <c r="DV3" s="387"/>
      <c r="DW3" s="384"/>
      <c r="DX3" s="384"/>
      <c r="DY3" s="384"/>
      <c r="EA3" s="388"/>
      <c r="EB3" s="388"/>
      <c r="EC3" s="388"/>
      <c r="ED3" s="388"/>
      <c r="EE3" s="387"/>
      <c r="EF3" s="384"/>
      <c r="EG3" s="384"/>
      <c r="EH3" s="384"/>
      <c r="EJ3" s="388"/>
      <c r="EK3" s="388"/>
      <c r="EL3" s="388"/>
      <c r="EM3" s="388"/>
      <c r="EN3" s="388"/>
      <c r="EO3" s="388"/>
      <c r="EP3" s="387"/>
      <c r="EQ3" s="384"/>
      <c r="ER3" s="384"/>
      <c r="ES3" s="384"/>
      <c r="EU3" s="387"/>
      <c r="EV3" s="384"/>
      <c r="EW3" s="385"/>
      <c r="EX3" s="384"/>
      <c r="EZ3" s="387"/>
      <c r="FA3" s="384"/>
      <c r="FB3" s="385"/>
      <c r="FC3" s="384"/>
      <c r="FE3" s="388"/>
      <c r="FF3" s="388"/>
      <c r="FG3" s="388"/>
      <c r="FH3" s="388"/>
      <c r="FI3" s="388"/>
      <c r="FJ3" s="388"/>
      <c r="FK3" s="384"/>
      <c r="FL3" s="385"/>
      <c r="FM3" s="384"/>
      <c r="FO3" s="388"/>
      <c r="FP3" s="388"/>
      <c r="FQ3" s="388"/>
      <c r="FR3" s="388"/>
      <c r="FS3" s="388"/>
      <c r="FT3" s="384"/>
      <c r="FU3" s="385"/>
      <c r="FV3" s="384"/>
      <c r="FX3" s="388"/>
      <c r="FY3" s="388"/>
      <c r="FZ3" s="388"/>
      <c r="GA3" s="388"/>
      <c r="GB3" s="384"/>
      <c r="GC3" s="385"/>
      <c r="GD3" s="384"/>
      <c r="GF3" s="383"/>
      <c r="GG3" s="383"/>
      <c r="GH3" s="383"/>
      <c r="GI3" s="383"/>
      <c r="GJ3" s="384"/>
      <c r="GK3" s="385"/>
      <c r="GL3" s="384"/>
      <c r="GN3" s="383"/>
      <c r="GO3" s="383"/>
      <c r="GP3" s="383"/>
      <c r="GQ3" s="384"/>
      <c r="GR3" s="385"/>
      <c r="GS3" s="384"/>
      <c r="GU3" s="387"/>
      <c r="GV3" s="384"/>
      <c r="GW3" s="385"/>
      <c r="GX3" s="384"/>
      <c r="GZ3" s="387"/>
      <c r="HA3" s="384"/>
      <c r="HB3" s="385"/>
      <c r="HC3" s="384"/>
      <c r="HE3" s="383"/>
      <c r="HF3" s="384"/>
      <c r="HG3" s="385"/>
      <c r="HH3" s="384"/>
    </row>
    <row r="4" spans="1:216" ht="17.100000000000001" customHeight="1" x14ac:dyDescent="0.25">
      <c r="B4">
        <v>0</v>
      </c>
      <c r="C4" s="124">
        <f>3.938425 + 0.7518199*B4*12 - 0.02023793*(B4*12)^2 + 0.0002921682*(B4*12)^3 - 0.00000206762*(B4*12)^4 + 0.000000008469*(B4*12)^5 - 0.00000000002188427*(B4*12)^6 + 3.699776E-14*(B4*12)^7 - 4.099077E-17*(B4*12)^8 + 2.874804E-20*(B4*12)^9 - 1.159732E-23*(B4*12)^10 + 2.052602E-27*(B4*12)^11</f>
        <v>3.9384250000000001</v>
      </c>
      <c r="D4" s="124">
        <f>64.35+0.8146*B4*12 - 0.0007474*(B4*12)^2 - 0.000006322*(B4*12)^3 + 0.00000001903*(B4*12)^4 - 0.00000000001995*(B4*12)^5 + 0.000000000000007297*(B4*12)^6</f>
        <v>64.349999999999994</v>
      </c>
      <c r="E4" s="29">
        <f>EXP(-3.75+0.42*LN(D4)+0.52*LN(C4))</f>
        <v>0.27577432213675535</v>
      </c>
      <c r="F4" s="29">
        <f t="shared" ref="F4:F35" si="0">0.007184*C4^0.425*D4^0.725</f>
        <v>0.26337595272519793</v>
      </c>
      <c r="G4" s="29">
        <f t="shared" ref="G4:G35" si="1">(C4^0.515*D4^0.422)*234.9/10000</f>
        <v>0.27585549144879773</v>
      </c>
      <c r="H4" s="29">
        <f t="shared" ref="H4:H35" si="2">EXP(-3.75 + 0.42 * LN(D4) + 0.52 * LN(C4) )</f>
        <v>0.27577432213675535</v>
      </c>
      <c r="I4" s="29">
        <f t="shared" ref="I4:I35" si="3">IF(B4&lt;18, 0.024265 *C4^0.5378 * D4^0.3964, SQRT(C4* D4/3600))</f>
        <v>0.26427338326811245</v>
      </c>
      <c r="J4" s="125">
        <f t="shared" ref="J4:J35" si="4">AVERAGE(E4:I4)</f>
        <v>0.27101069434312375</v>
      </c>
      <c r="K4" s="126">
        <f t="shared" ref="K4:K35" si="5">STDEV(E4:I4)</f>
        <v>6.5676669868687844E-3</v>
      </c>
      <c r="L4" s="126">
        <f>(K4/J4)*100</f>
        <v>2.4233977197053087</v>
      </c>
      <c r="N4" s="138">
        <f>((3.5*E4*60)+(3.5*F4*60)+(3.5*G4*60)+(3.5*H4*60)+(3.5*I4*60))/5</f>
        <v>56.912245812055993</v>
      </c>
      <c r="O4" s="138">
        <f>IF(B4&lt; 18, 0.012 * B4^3 - 1.2144 * B4^2 + 40.324 * B4 + 44.414, 325.7924)</f>
        <v>44.414000000000001</v>
      </c>
      <c r="P4" s="138">
        <f>((6.4837 - 1.59948 *B4 + 214.68572 *E4)+(6.4837 - 1.59948 *B4 + 214.68572 *F4)+(6.4837 - 1.59948 *B4 + 214.68572 *G4)+(6.4837 - 1.59948 *B4 + 214.68572 *H4)+(6.4837 - 1.59948 *B4 + 214.68572 *I4))/5</f>
        <v>64.665826042753451</v>
      </c>
      <c r="Q4" s="138">
        <f>(0.2519 * C4^0.7609) * 60</f>
        <v>42.89042687544498</v>
      </c>
      <c r="R4" s="138">
        <f>(3.5 *E4* 60+3.5 *F4* 60+3.5 *G4* 60+3.5 *H4* 60+3.5 *I4* 60)/5</f>
        <v>56.912245812055993</v>
      </c>
      <c r="S4" s="138">
        <f>IF(B4&lt;=33.37, (6.642+(0.6-6.642)*EXP(-0.1323*B4))*60, (-0.000895*B4^2+0.0607*B4+5.54)*60)</f>
        <v>35.999999999999979</v>
      </c>
      <c r="T4" s="138">
        <f>AVERAGE(N4:S4)</f>
        <v>50.299124090385071</v>
      </c>
      <c r="U4" s="138">
        <f>STDEV(N4:S4)</f>
        <v>10.8430375129258</v>
      </c>
      <c r="V4" s="138">
        <f>(U4/T4)*100</f>
        <v>21.557110007405676</v>
      </c>
      <c r="X4" s="227">
        <f>IF(B4 &lt; 2, 0.359, (0.00000112815 * B4^3) - (0.000172362 * B4^2) + (0.00815264 * B4) + 0.327363 )</f>
        <v>0.35899999999999999</v>
      </c>
      <c r="Y4" s="227">
        <f>IF(B4&lt;18,(-0.1*(B4*365.25*24)^(0.00000000000966))-0.1*(B4*365.25*24)^0.00000155+0.00000055*B4*365.25*24+0.58,0.47)</f>
        <v>0.57999999999999996</v>
      </c>
      <c r="Z4" s="227">
        <f>IF(B4 &lt; 2, 0.359, (0.00000112815 * B4^3) - (0.000172362 * B4^2) + (0.00815264 * B4) + 0.327363)</f>
        <v>0.35899999999999999</v>
      </c>
      <c r="AA4" s="227">
        <f>AVERAGE(X4:Z4)</f>
        <v>0.4326666666666667</v>
      </c>
      <c r="AB4" s="227">
        <f>STDEV(X4:Z4)</f>
        <v>0.12759440949090711</v>
      </c>
      <c r="AC4" s="227">
        <f>(AB4/AA4)*100</f>
        <v>29.490233318391475</v>
      </c>
      <c r="AE4" s="228">
        <f>(10^(1.2082*LOG10(AVERAGE(E4:I4))+3.2869)/1000)</f>
        <v>0.39979209566964169</v>
      </c>
      <c r="AF4" s="228">
        <f>IF(B4 &lt; 18, (-0.0623 * B4^5 + 2.4425 * B4^4 - 31.37 * B4^3 + 149.98 * B4^2 + 31.305 * B4 + 393.7) / 1000, 5.285)</f>
        <v>0.39369999999999999</v>
      </c>
      <c r="AG4" s="228">
        <f>(10^(1.2082*LOG10(AVERAGE(E4:I4))+3.2869)/1000)</f>
        <v>0.39979209566964169</v>
      </c>
      <c r="AH4" s="228">
        <f>(0.0897 - 0.00000035 *C4 + 0.000000000000654 * C4^2) * C4</f>
        <v>0.35327129362293441</v>
      </c>
      <c r="AI4" s="228">
        <f>IF(B4 &lt; 18, (-0.0623 * B4^5 + 2.4425 * B4^4 - 31.37 * B4^3 + 149.98 * B4^2 + 31.305 * B4 + 393.7) / 1000, 5.285)</f>
        <v>0.39369999999999999</v>
      </c>
      <c r="AJ4" s="228">
        <f>IF(B4&lt;=1,(-0.0273*B4+0.0771)*C4,(0.0761+(0.0289-0.0761)*EXP(-0.592*B4))*C4)</f>
        <v>0.30365256750000003</v>
      </c>
      <c r="AK4" s="228">
        <f>(3.33 * AVERAGE(E4:I4) - 0.81) / 1.06</f>
        <v>8.7231709587360443E-2</v>
      </c>
      <c r="AL4" s="228">
        <f>AVERAGE(AE4:AK4)</f>
        <v>0.33301996600708256</v>
      </c>
      <c r="AM4" s="228">
        <f>STDEV(AE4:AK4)</f>
        <v>0.11399239375884995</v>
      </c>
      <c r="AN4" s="228">
        <f>(AM4/AL4)*100</f>
        <v>34.229897722236153</v>
      </c>
      <c r="AP4" s="229">
        <f>10 * (B4 + 0.315)/(9+6.92 * B4)</f>
        <v>0.35</v>
      </c>
      <c r="AQ4" s="229">
        <f>IF(B4 &lt; 18, 10 * (B4 + 0.213) / (6.03 + 6.895 * B4), 1.4)</f>
        <v>0.35323383084577109</v>
      </c>
      <c r="AR4" s="229">
        <f>IF(B4 &lt; 18,  (-0.0503 * B4*365.25*24 + 0.907 *  (B4*365.25*24)^(0.769) + 0.0395) / 1000, 1.47)</f>
        <v>3.9499999999999998E-5</v>
      </c>
      <c r="AS4" s="229">
        <f>0.218096 - 0.00159 * B4 - 0.003274 * C4 + 0.008626 *D4</f>
        <v>0.76028469654999997</v>
      </c>
      <c r="AT4" s="229">
        <f>10 * (B4 + 0.315)/(9+6.92 * B4)</f>
        <v>0.35</v>
      </c>
      <c r="AU4" s="229">
        <f>(0.1216 - 0.000003456 * C4*1000 + 0.00000000004354 * (C4*1000)^2 - 0.0000000000000002463 * (C4*1000)^3 + 5.132E-22 * (C4*1000)^4) * B4</f>
        <v>0</v>
      </c>
      <c r="AV4" s="229">
        <f>IF(B4 &lt; 18, 10 * (B4 + 0.213) / (6.03 + 6.895 * B4), 1.4)</f>
        <v>0.35323383084577109</v>
      </c>
      <c r="AW4" s="229">
        <f>1.45 + (0.35 - 1.45) * EXP(-0.44 * B4)</f>
        <v>0.34999999999999987</v>
      </c>
      <c r="AX4" s="229">
        <f>(0.425 * ((3.68 - 2.68 * EXP(-B4/0.89)) * EXP(-B4/629))) / 1.03</f>
        <v>0.41262135922330095</v>
      </c>
      <c r="AY4" s="229">
        <f>AVERAGE(AP4:AX4)</f>
        <v>0.32549035749609367</v>
      </c>
      <c r="AZ4" s="229">
        <f>STDEV(AP4:AX4)</f>
        <v>0.22689252151547526</v>
      </c>
      <c r="BA4" s="229">
        <f>(AZ4/AY4)*100</f>
        <v>69.707908787497118</v>
      </c>
      <c r="BC4" s="230">
        <f>IF(B4 &lt; 18,  (-0.0306 * B4^5 + 0.5222 * B4^4 + 9.7109 * B4^3 - 197.97 * B4^2 + 1089.7 * B4 + 546.6) / 1000, 9.65)</f>
        <v>0.54659999999999997</v>
      </c>
      <c r="BD4" s="230">
        <f>IF(B4 &lt; 18, (0.0597 * B4*365.25*24 + 0.907 * (B4*365.25*24)^(0.769) + 395) / 1000, 11.73)</f>
        <v>0.39500000000000002</v>
      </c>
      <c r="BE4" s="230">
        <f>IF(B4 &lt; 18, (-0.0306 * B4^5 + 0.5222 * B4^4 + 9.7109 * B4^3 - 197.97 * B4^2 + 1089.7 *B4+ 546.6) / 1000, 9.65)</f>
        <v>0.54659999999999997</v>
      </c>
      <c r="BF4" s="230">
        <f>IF(B4 &lt; 50, (0.89983 + (2.9901 - 0.89989) / (1 + EXP(14.17081 - B4) / 1.58179)) / 0.65 / 0.5, (0.89983 + (2.9901 - 0.89989) / (1 + EXP(14.17081 - B4) / 1.58179) - (0.0019 * B4)) / 0.65 / 0.5)</f>
        <v>2.7687148233057339</v>
      </c>
      <c r="BG4" s="230">
        <f>AVERAGE(BC4:BF4)</f>
        <v>1.0642287058264335</v>
      </c>
      <c r="BH4" s="230">
        <f>STDEV(BC4:BF4)</f>
        <v>1.1385691224182628</v>
      </c>
      <c r="BI4" s="230">
        <f>(BH4/BG4)*100</f>
        <v>106.98537975764333</v>
      </c>
      <c r="BK4" s="227">
        <f t="shared" ref="BK4:BK35" si="6">IF(B4 &lt; 18,  (0.535 * B4^3 + 56.937 * B4^2 - 124.25 * B4 + 1051.3) / 1040,19.6)</f>
        <v>1.0108653846153846</v>
      </c>
      <c r="BL4" s="227">
        <f t="shared" ref="BL4:BL35" si="7">IF(B4 &lt; 18,  (1.26*10^(-1) * (B4 * 365.25 * 24) + 7.76*10^(-6) * (B4 * 365.25 * 24)^(1.76) + 9.5*10^(-2))/1000,31.73)</f>
        <v>9.5000000000000005E-5</v>
      </c>
      <c r="BM4" s="227">
        <f t="shared" ref="BM4:BM35" si="8">IF(B4 &lt; 3, 9.561*10^(-2) * C4 + 1.601*10^(-2) * D4 + 1.097*10^(-1) * B4, IF( B4 &lt; 18, 2.789*10^(-1) * C4 - 6.358*10^(-2) * D4 + 9.85*10^(-1) * B4 + 2.167, 2.598*10^(-1) * C4 + 1.206*10^(-1) * D4 - 4.3*10^(-3) * B4 - 1.11))</f>
        <v>1.40679631425</v>
      </c>
      <c r="BN4" s="227">
        <f t="shared" ref="BN4:BN35" si="9">(0.1251 + 0.00001458 * (C4*1000) - 0.0000000002927 *(C4*1000)^2 + 0.000000000000002114 * (C4*1000)^3 - 5.25E-21 * (C4*1000)^4) * C4</f>
        <v>0.7014728419713252</v>
      </c>
      <c r="BO4" s="227">
        <f t="shared" ref="BO4:BO35" si="10">IF(B4 &lt; 18, (0.535 * B4^3 + 56.937 * B4^2 - 124.25*B4 + 1051.3) / 1040, 19.6)</f>
        <v>1.0108653846153846</v>
      </c>
      <c r="BP4" s="227">
        <f t="shared" ref="BP4:BP35" si="11">IF(B4 &lt;= 24.3, (0.3973 + (0.201 - 0.3973) * EXP(-0.141 * B4)) * C4,  (0.3973 + (0.201 - 0.3973) * EXP(-0.141 *B4)) * C4 * (-0.0001264 * B4^2 + 0.006131 * B4 + 0.926) )</f>
        <v>0.79162342500000005</v>
      </c>
      <c r="BQ4" s="227">
        <f t="shared" ref="BQ4:BQ35" si="12">IF(B4 &lt; 19, (12.4 /(1 + (6.5 * EXP(-0.55 * B4)))) + (19.7 / (1 + EXP(-0.85 * (B4 - 13.7)))), 31.86)</f>
        <v>1.6535059581295082</v>
      </c>
      <c r="BR4" s="227">
        <f>AVERAGE(BK4:BQ4)</f>
        <v>0.93931775836880038</v>
      </c>
      <c r="BS4" s="227">
        <f>STDEV(BK4:BQ4)</f>
        <v>0.53219080549688336</v>
      </c>
      <c r="BT4" s="227">
        <f t="shared" ref="BT4:BT35" si="13">(BS4/BR4)*100</f>
        <v>56.657164282838089</v>
      </c>
      <c r="BV4" s="231">
        <f>IF(B4 &lt; 18, (0.0009737*(B4^5)-0.0561*(B4^4)+1.1729*(B4^3)-10.34*(B4^2)+44.604 *B4+28.291)/1050, 0.26)</f>
        <v>2.6943809523809523E-2</v>
      </c>
      <c r="BW4" s="231">
        <f>0.05668 - 0.0004962 * B4 + 0.003501 * C4</f>
        <v>7.0468425924999994E-2</v>
      </c>
      <c r="BX4" s="231">
        <f>(0.00726 - 0.0000000669 * (C4*1000) + 0.000000000000333 * (C4*1000)^2) * C4</f>
        <v>2.7575609648160443E-2</v>
      </c>
      <c r="BY4" s="231">
        <f>IF(B4 &lt; 18, (0.0009737 * B4^5 - 0.0561*B4^4 + 1.1729*B4^3 - 10.34 *B4^2 + 44.604*B4 + 28.291)/1050, 0.26)</f>
        <v>2.6943809523809523E-2</v>
      </c>
      <c r="BZ4" s="231">
        <f>(0.0042 + (0.00767 - 0.0042) * EXP(-0.218 *B4)) * C4</f>
        <v>3.0207719750000001E-2</v>
      </c>
      <c r="CA4" s="231">
        <f>((10.24 *(D4/100) * SQRT(C4 + 7.85) + (9.88 *(D4/100) * SQRT(C4) + 7.2)) / 1050)</f>
        <v>4.0420643270065677E-2</v>
      </c>
      <c r="CB4" s="231">
        <f>IF(B4 &lt; 18, (3.17*10^(-2) * (B4*365.25*24) + 1.44*10^(-2) * (B4*365.25*24)^(1.06) + 38) / 20000, 0.48)</f>
        <v>1.9E-3</v>
      </c>
      <c r="CC4" s="231">
        <f>EXP(-2.306 * ((D4/100)^(-1.93)))</f>
        <v>4.5184435299772743E-3</v>
      </c>
      <c r="CD4" s="231">
        <f>AVERAGE(BV4:CC4)</f>
        <v>2.8622307646352804E-2</v>
      </c>
      <c r="CE4" s="231">
        <f>STDEV(BV4:CC4)</f>
        <v>2.13629189749097E-2</v>
      </c>
      <c r="CF4" s="231">
        <f t="shared" ref="CF4:CF35" si="14">(CE4/CD4)*100</f>
        <v>74.637304716525435</v>
      </c>
      <c r="CH4" s="232">
        <f>IF(B4 &lt;= 22, 0.05012*C4^0.78, (1.07828 * AVERAGE(E4:I4) - 0.3457) * (0.05012*76.28^0.78 / (1.0728 * 1.99 - 0.3457)))</f>
        <v>0.1460033008247745</v>
      </c>
      <c r="CI4" s="232">
        <f>IF(B4 &lt; 18, (0.0072 * B4^5 - 0.3975 * B4^4 + 7.9052 * B4^3 - 65.624 * B4^2 + 262.02 * B4 + 157.52) / 1050, 1.52)</f>
        <v>0.15001904761904764</v>
      </c>
      <c r="CJ4" s="232">
        <f>IF(B4 &lt; 18, (2.79*10^-3 * (B4*365.25*24) + 1.1 * (B4*365.25*24)^(6.03*10^-1) + 1.6*10^2) / 1000, 2.1)</f>
        <v>0.16</v>
      </c>
      <c r="CK4" s="232">
        <f>(0.0247 + (0.0409 - 0.0247) * EXP(-0.218 * B4)) * C4</f>
        <v>0.16108158249999999</v>
      </c>
      <c r="CL4" s="232">
        <f>-0.0143744 - 0.0044728 * B4 + 0.0264591 *C4</f>
        <v>8.9832780917500007E-2</v>
      </c>
      <c r="CM4" s="232">
        <f>0.05012 * C4^0.78</f>
        <v>0.1460033008247745</v>
      </c>
      <c r="CN4" s="232">
        <f>IF(B4 &lt;= 22, 0.05012*C4^0.78, (1.07828 * AVERAGE(E4:I4) - 0.3457) * (0.05012*77.06^0.78 / (1.0728 * 2 - 0.3457)))</f>
        <v>0.1460033008247745</v>
      </c>
      <c r="CO4" s="232">
        <f>(3.939*10^(-2) - 7.058*10^(-7) * C4*1000 + 1.155*10^(-11) * (C4 * 1000)^2 - 8.016*10^(-17) * (C4 * 1000)^3 + 1.869*10^(-22) * (C4 * 1000)^4) * C4</f>
        <v>0.14487323826678353</v>
      </c>
      <c r="CP4" s="232">
        <f>IF(B4 &lt; 18, (0.0072 * B4^5 - 0.3975 * B4^4 + 7.9052 *B4^3 - 65.624 * B4^2 + 262.02 *B4 + 157.52) / 1050, 1.52)</f>
        <v>0.15001904761904764</v>
      </c>
      <c r="CQ4" s="232">
        <f>(576.9 * D4/100 + 8.9 * C4 - 159.7) / 1050</f>
        <v>0.23484488809523804</v>
      </c>
      <c r="CR4" s="232">
        <f>AVERAGE(CH4:CQ4)</f>
        <v>0.15286804874919407</v>
      </c>
      <c r="CS4" s="232">
        <f>STDEV(CH4:CQ4)</f>
        <v>3.5013487792922467E-2</v>
      </c>
      <c r="CT4" s="232">
        <f t="shared" ref="CT4:CT35" si="15">(CS4/CR4)*100</f>
        <v>22.904385893201283</v>
      </c>
      <c r="CV4" s="229">
        <f t="shared" ref="CV4:CV35" si="16">IF(B4 &lt; 18, (-0.0346 * B4^4 + 1.5069 * B4^3 - 20.31 * B4^2 + 123.99 * B4 + 59.213) / 1050, 0.83)</f>
        <v>5.6393333333333337E-2</v>
      </c>
      <c r="CW4" s="229">
        <f t="shared" ref="CW4:CW35" si="17">IF(B4&lt; 18, (9.74*10^(-2) * (B4*365.25*24) + 6.33*10^(-2) * (B4 * 365.25*24)^(9.98*10^-1) + 3.8*10^1) / 25000, 1.19)</f>
        <v>1.5200000000000001E-3</v>
      </c>
      <c r="CX4" s="229">
        <f t="shared" ref="CX4:CX35" si="18">-1.454*10^(-2) + 7.269*10^(-4) * B4+ 9.329*10^(-6) * B4^2 + 6.43*10^(-3) * C4 + 3.083*10^-5 * C4^2</f>
        <v>1.1262282783347668E-2</v>
      </c>
      <c r="CY4" s="229">
        <f t="shared" ref="CY4:CY35" si="19">EXP(-2.092 * ((D4/100)^(-2.1)))</f>
        <v>5.0939292379693739E-3</v>
      </c>
      <c r="CZ4" s="229">
        <f t="shared" ref="CZ4:CZ35" si="20">(1.86*10^(-2) - 4.55*10^(-8) * C4*1000) * C4</f>
        <v>7.2548945787631575E-2</v>
      </c>
      <c r="DA4" s="229">
        <f t="shared" ref="DA4:DA35" si="21">IF(B4 &lt; 18, (-0.0346 * B4^4 + 1.5069 * B4^3 - 20.31 *B4^2 + 123.99 * B4 + 59.213) / 1050, 0.83)</f>
        <v>5.6393333333333337E-2</v>
      </c>
      <c r="DB4" s="229">
        <f t="shared" ref="DB4:DB35" si="22">0.0068 * C4</f>
        <v>2.6781289999999999E-2</v>
      </c>
      <c r="DC4" s="229">
        <f t="shared" ref="DC4:DC35" si="23">IF(B4 &lt; 18, ((29.08 * (D4/100) * SQRT(C4) + 11.06) + (35.47 * (D4/100) * SQRT(C4) + 5.53)) / 1050, 0.89)</f>
        <v>9.4308519673806893E-2</v>
      </c>
      <c r="DD4" s="229">
        <f t="shared" ref="DD4:DD35" si="24">AVERAGE(CV4:DC4)</f>
        <v>4.0537704268677775E-2</v>
      </c>
      <c r="DE4" s="229">
        <f t="shared" ref="DE4:DE35" si="25">STDEV(CV4:DC4)</f>
        <v>3.4317329629898634E-2</v>
      </c>
      <c r="DF4" s="229">
        <f t="shared" ref="DF4:DF35" si="26">(DE4/DD4)*100</f>
        <v>84.655335690567384</v>
      </c>
      <c r="DH4" s="234">
        <f>1.48*10^(-3) * B4</f>
        <v>0</v>
      </c>
      <c r="DI4" s="234">
        <f>0.002 * B4</f>
        <v>0</v>
      </c>
      <c r="DJ4" s="234">
        <f>(7.6*(D4/100)*SQRT(C4)-0.79)/1045</f>
        <v>8.5316969820061431E-3</v>
      </c>
      <c r="DK4" s="234">
        <f t="shared" ref="DK4:DK35" si="27">AVERAGE(DH4:DJ4)</f>
        <v>2.8438989940020479E-3</v>
      </c>
      <c r="DL4" s="234">
        <f t="shared" ref="DL4:DL35" si="28">STDEV(DH4:DJ4)</f>
        <v>4.9257775492055648E-3</v>
      </c>
      <c r="DM4" s="234">
        <f t="shared" ref="DM4:DM35" si="29">(DL4/DK4)*100</f>
        <v>173.20508075688775</v>
      </c>
      <c r="DO4" s="229">
        <f>IF(B4 &lt; 18, (-0.0992 * B4^4 + 4.2762 * B4^3 - 62.165 * B4^2 + 432.78 * B4 + 203.2) / 1000, 2.38)</f>
        <v>0.20319999999999999</v>
      </c>
      <c r="DP4" s="229">
        <f>IF(B4 &lt;= 18,  (2.88*10^(-1) * (B4*365.25*24) + 2.71*10^(-1) * (B4 * 365.25 * 24)^0.998 + 200) / 25000, 3.49)</f>
        <v>8.0000000000000002E-3</v>
      </c>
      <c r="DQ4" s="229">
        <f>IF(B4 &lt; 10, 0.664 * AVERAGE(E4:I4) + 7.85*10^(-2)*AVERAGE(E4:I4)^1.049, IF(B4 &lt; 20, (-9.356*10^(-5) - 2.151*10^(-5) * B4 - 5.058*10^(-1) * AVERAGE(E4:I4) + 1.134*10^(-6) * B4^2 + 0.117 * B4 * AVERAGE(E4:I4)- 1.673*10^(-5) * AVERAGE(E4:I4)^2) +  (7.85*10^(-2)*AVERAGE(E4:I4)^1.049), 1.834 * AVERAGE(E4:I4) + (7.85*10^(-2) * AVERAGE(E4:I4)^1.049)))</f>
        <v>0.1999070516649207</v>
      </c>
      <c r="DR4" s="229">
        <f>AVERAGE(E4:I4)*10000 * 0.15 / 1000</f>
        <v>0.40651604151468562</v>
      </c>
      <c r="DS4" s="229">
        <f>(1.03 * 10^(-1) - 2.56 * 10^(-6) * C4*1000 + 3.68 * 10^(-11) * (C4*1000)^2 - 2.58 * 10^(-16) * (C4 * 1000)^3 + 8.62 * 10^(-22) * (C4 * 1000)^4 - 1.1 * 10^(-27) * (C4*1000)^5)  * C4</f>
        <v>0.36813596311752261</v>
      </c>
      <c r="DT4" s="229">
        <f>IF(B4 &lt; 18, (-0.0992 * B4^4 + 4.2762 * B4^3 - 62.165 * B4^2 + 432.78 * B4 + 203.2) / 1000, 2.38)</f>
        <v>0.20319999999999999</v>
      </c>
      <c r="DU4" s="229">
        <f>IF(B4 &lt; 20, (-1.171 * 10^(-5) * B4^3 + 5.413*10^(-4) * B4^2 - 6.1966*10^(-3) * B4 + 4.623*10^(-3)) *B4, 0.0452 * B4)</f>
        <v>0</v>
      </c>
      <c r="DV4" s="229">
        <f>EXP(1.64 * AVERAGE(E4:I4) - 1.93) / 1.116</f>
        <v>0.20284901903869471</v>
      </c>
      <c r="DW4" s="229">
        <f t="shared" ref="DW4:DW35" si="30">AVERAGE(DO4:DV4)</f>
        <v>0.19897600941697793</v>
      </c>
      <c r="DX4" s="229">
        <f t="shared" ref="DX4:DX35" si="31">STDEV(DO4:DV4)</f>
        <v>0.14530892932523121</v>
      </c>
      <c r="DY4" s="229">
        <f t="shared" ref="DY4:DY35" si="32">(DX4/DW4)*100</f>
        <v>73.028366460360076</v>
      </c>
      <c r="EA4" s="235">
        <f>IF(B4 &lt; 18, (-0.0091 * B4^4 + 0.3457 * B4^3 - 4.0754 * B4^2 + 22.269 * B4 + 11.05) / 1054, 0.14)</f>
        <v>1.0483870967741936E-2</v>
      </c>
      <c r="EB4" s="235">
        <f>(3.12 * 10^(-3) - 5.57 * 10^(-9) * C4*1000) * C4</f>
        <v>1.2201488663452919E-2</v>
      </c>
      <c r="EC4" s="235">
        <f>IF(B4 &lt; 18, (-0.0091 * B4^4 + 0.3457 * B4^3 - 4.0754 * B4^2 + 22.269 * B4 + 11.05) / 1054, 0.14)</f>
        <v>1.0483870967741936E-2</v>
      </c>
      <c r="ED4" s="235">
        <f>0.0021 * C4</f>
        <v>8.2706924999999994E-3</v>
      </c>
      <c r="EE4" s="235">
        <f>(8.74 * D4/100 * SQRT(C4) + 11.06) / 1054</f>
        <v>2.1082985624407861E-2</v>
      </c>
      <c r="EF4" s="235">
        <f>AVERAGE(EA4:EE4)</f>
        <v>1.250458174466893E-2</v>
      </c>
      <c r="EG4" s="235">
        <f>STDEV(EA4:EE4)</f>
        <v>4.9943278017142113E-3</v>
      </c>
      <c r="EH4" s="235">
        <f t="shared" ref="EH4:EH35" si="33">(EG4/EF4)*100</f>
        <v>39.93998282944122</v>
      </c>
      <c r="EJ4" s="229">
        <f>IF(B4&lt;=18,(0.0165*B4^5 - 1.9784*B4^4 + 51.963*B4^3 - 459.38*B4^2 + 1566.8*B4 + 1004.2)/916, (0.0165*18^5 - 1.9784*18^4 + 51.963*18^3 - 459.38*18^2 + 1566.8*18 + 1004.2)/916)</f>
        <v>1.096288209606987</v>
      </c>
      <c r="EK4" s="229">
        <f>IF(B4&lt;=25,((1.4471*EXP(-0.0761*B4)+0.52)*(C4/(D4/100)^2) - 0.10124*B4+5.0465)*C4/100, (-6.0487*(C4/(D4/100)^2) + 0.1177*(C4/(D4/100)^2)^2 + 0.03155*B4 + 97.2025) * 0.979 *C4/100)</f>
        <v>0.93559482516540782</v>
      </c>
      <c r="EL4" s="229">
        <f>IF(B4 &lt; 18, (0.0165 * B4^5 - 1.9784 * B4^4 + 51.963 * B4^3 - 459.39 * B4^2 + 1566.8 * B4 + 1004.2) / 1000, 6.91)</f>
        <v>1.0042</v>
      </c>
      <c r="EM4" s="229">
        <f>IF(B4 &lt;= 18, (2.54*10^(-2) * (B4 * 365.25 * 24) + 1.88 * 10^1 *(B4 * 365.25 * 24)^(5.2*10^(-1)) + 9.06 * 10^(-2)) / 1000, 14.4)</f>
        <v>9.0600000000000007E-5</v>
      </c>
      <c r="EN4" s="229">
        <f>1.3054356 + 0.3622685 * B4 - 0.0025165 * B4^2 + 0.0906119 * C4 + 0.0001731 * C4^2</f>
        <v>1.6649887595027961</v>
      </c>
      <c r="EO4" s="229">
        <f t="shared" ref="EO4:EO35" si="34">IF(B4 &lt; 20, ((2.8975 * EXP(-0.129 * B4) + 0.67) * (C4/(D4/100)^2) + 0.2635 * B4 - 4.843) * C4 / 100, (-5.33798 * (C4/(D4/100)^2) + 0.11149 * (C4/(D4/100)^2)^2 + 0.09795 * B4+ 85.24521) * C4/ 100)</f>
        <v>1.1455869084229979</v>
      </c>
      <c r="EP4" s="229">
        <f>(3.484 * 10^(-2) + 2.803 * 10^(-5) * (C4*1000) - 1.422*10^(-9) * (C4*1000)^2 + 2.892 * 10^(-14) * (C4*1000)^3 - 2.718*10^(-19) * (C4*1000)^4 + 1.203*10^(-24) * (C4*1000)^5 - 2.036*10^(-30) * (C4*1000)^6) *(C4)</f>
        <v>0.49182889770088178</v>
      </c>
      <c r="EQ4" s="229">
        <f>AVERAGE(EJ4:EP4)</f>
        <v>0.90551117148558158</v>
      </c>
      <c r="ER4" s="229">
        <f>STDEV(EJ4:EP4)</f>
        <v>0.52795239533599647</v>
      </c>
      <c r="ES4" s="229">
        <f t="shared" ref="ES4:ES35" si="35">(ER4/EQ4)*100</f>
        <v>58.304349185426155</v>
      </c>
      <c r="EU4" s="238">
        <f>(2 * 10^(-4) + (1.71*10^(-3) - 2 * 10^(-4)) * EXP(-2.02 * B4)) * C4</f>
        <v>6.7347067499999996E-3</v>
      </c>
      <c r="EV4" s="238">
        <f>AVERAGE(EU4)</f>
        <v>6.7347067499999996E-3</v>
      </c>
      <c r="EW4" s="238" t="e">
        <f>STDEV(EU4)</f>
        <v>#DIV/0!</v>
      </c>
      <c r="EX4" s="239" t="e">
        <f t="shared" ref="EX4:EX35" si="36">(EW4/EV4)*100</f>
        <v>#DIV/0!</v>
      </c>
      <c r="EZ4" s="240">
        <f>(3.42 * 10^(-4) * (1 / (1+EXP(-1.42 * B4 + 20.1)))) *C4</f>
        <v>2.5120576303447479E-12</v>
      </c>
      <c r="FA4" s="240">
        <f>AVERAGE(EZ4)</f>
        <v>2.5120576303447479E-12</v>
      </c>
      <c r="FB4" s="240" t="e">
        <f>STDEV(EZ4)</f>
        <v>#DIV/0!</v>
      </c>
      <c r="FC4" s="241" t="e">
        <f t="shared" ref="FC4:FC35" si="37">(FB4/FA4)*100</f>
        <v>#DIV/0!</v>
      </c>
      <c r="FE4" s="236">
        <f>IF(B4 &lt; 18, (-4.7817*10^(-2) * B4^4 + 1.925 * B4^3 - 22.382 * B4^2 + 107.09 * B4 + 51.125) / 1040, 0.9)</f>
        <v>4.9158653846153845E-2</v>
      </c>
      <c r="FF4" s="236">
        <f>IF(B4 &lt; 18,  (8.2 * 10^(-2) * (B4 * 365.25 * 24) + 4.41*10^(-2) * (B4 * 365.25 * 24)^(1.04) + 9*10^1) / 20000, 1.2)</f>
        <v>4.4999999999999997E-3</v>
      </c>
      <c r="FG4" s="236">
        <f>0.021 * (C4 - AVERAGE(EK4:EP4))</f>
        <v>6.4358910032227712E-2</v>
      </c>
      <c r="FH4" s="236">
        <f>1.65 * 10^(-2) * C4</f>
        <v>6.4984012500000007E-2</v>
      </c>
      <c r="FI4" s="236">
        <f>IF(C4 &lt; 18, (-4.7817*10^(-2) * C4^4 + 1.925 * C4^3 - 22.382 * C4^2 + 107.09 * C4 + 51.125) / 1040, 0.9)</f>
        <v>0.22289655735465191</v>
      </c>
      <c r="FJ4" s="236">
        <f>IF(B4 &lt; 16, (-8.2562 * 10^(-5) * B4^2 + 1.3523 * 10^(-3) * B4 + 1.293 * 10^(-2)) * C4,0.014 * C4)</f>
        <v>5.0923835249999994E-2</v>
      </c>
      <c r="FK4" s="236">
        <f t="shared" ref="FK4:FK35" si="38">AVERAGE(FE4:FJ4)</f>
        <v>7.613699483050558E-2</v>
      </c>
      <c r="FL4" s="236">
        <f t="shared" ref="FL4:FL35" si="39">STDEV(FE4:FJ4)</f>
        <v>7.5228817371144008E-2</v>
      </c>
      <c r="FM4" s="237">
        <f t="shared" ref="FM4:FM35" si="40">(FL4/FK4)*100</f>
        <v>98.807179792972732</v>
      </c>
      <c r="FO4" s="227">
        <f>IF(B4 &lt; 18,  (-0.0132 * B4^4 + 0.5051 * B4^3 - 5.7113 * B4^2 + 32.213 * B4 + 20.354) / 1030, 0.3)</f>
        <v>1.9761165048543687E-2</v>
      </c>
      <c r="FP4" s="227">
        <f>IF(B4 &lt; 18,  (4.68*10^(-2)*(B4*365.25 *24)-3.81*10^(-2) *(B4*365.25*24)^(1.01)+2.8*10^1)/2000,0.32)</f>
        <v>1.4E-2</v>
      </c>
      <c r="FQ4" s="227">
        <f>1.017*10^(-7) * (D4^(0.664) * C4^(0.3851) * 242.7)^1.42</f>
        <v>2.6601840388321665E-2</v>
      </c>
      <c r="FR4" s="227">
        <f>IF(B4 &lt; 18,  (-0.0132 * B4^4 + 0.5051 * B4^3 - 5.7113 * B4^2 + 32.213 * B4 + 20.354) / 1030, 0.3)</f>
        <v>1.9761165048543687E-2</v>
      </c>
      <c r="FS4" s="227">
        <f>0.0045 * C4</f>
        <v>1.77229125E-2</v>
      </c>
      <c r="FT4" s="227">
        <f t="shared" ref="FT4:FT35" si="41">AVERAGE(FO4:FS4)</f>
        <v>1.9569416597081807E-2</v>
      </c>
      <c r="FU4" s="227">
        <f t="shared" ref="FU4:FU35" si="42">STDEV(FO4:FS4)</f>
        <v>4.5813889250221583E-3</v>
      </c>
      <c r="FV4" s="242">
        <f t="shared" ref="FV4:FV35" si="43">(FU4/FT4)*100</f>
        <v>23.41096323589603</v>
      </c>
      <c r="FX4" s="230">
        <f>IF(B4 &lt; 18, (1.9956 * 10^(-3) * B4^6 - 0.11169 * B4^5 + 2.189 * B4^4 - 17.726 * B4^3 + 59.767 * B4^2 + 14.405  * B4 + 73.716) / 1000, 2.94)</f>
        <v>7.371599999999999E-2</v>
      </c>
      <c r="FY4" s="230">
        <f>2.1 * 10^(-2) * C4</f>
        <v>8.2706925000000001E-2</v>
      </c>
      <c r="FZ4" s="230">
        <f>IF(B4 &lt; 18, (1.9956 * 10^(-3) * B4^6 - 0.11169 * B4^5 + 2.189 * B4^4 - 17.726 * B4^3 + 59.767 * B4^2 + 14.405  * B4 + 73.716) / 1000, 2.94)</f>
        <v>7.371599999999999E-2</v>
      </c>
      <c r="GA4" s="230">
        <f>(0.05 + (0.0138 - 0.05) * EXP(-0.112 * B4)) * C4</f>
        <v>5.4350265000000002E-2</v>
      </c>
      <c r="GB4" s="230">
        <f t="shared" ref="GB4:GB35" si="44">AVERAGE(FW4:GA4)</f>
        <v>7.1122297500000001E-2</v>
      </c>
      <c r="GC4" s="230">
        <f t="shared" ref="GC4:GC35" si="45">STDEV(FW4:GA4)</f>
        <v>1.1957692835044473E-2</v>
      </c>
      <c r="GD4" s="243">
        <f t="shared" ref="GD4:GD35" si="46">(GC4/GB4)*100</f>
        <v>16.812860741801082</v>
      </c>
      <c r="GF4" s="231">
        <f>IF(B4 &lt; 18,  (0.0013 * B4^4 - 0.01 * B4^3 - 0.0104 * B4^2 + 1.0584 * B4+ 1.78) / 1050, 0.06)</f>
        <v>1.6952380952380954E-3</v>
      </c>
      <c r="GG4" s="231">
        <f>IF(B4 &lt; 18, (8.52*10^(-2) * (B4 * 365.25 * 24) + 8.31*10^(-2) * (B4 * 365.24 * 24)^(9.99*10^-1) + 1.1) / 500000, 0.05)</f>
        <v>2.2000000000000001E-6</v>
      </c>
      <c r="GH4" s="231">
        <f>IF(C4 &lt; 18,  (0.0013 * C4^4 - 0.01 * C4^3 - 0.0104 * C4^2 + 1.0584 * C4+ 1.78) / 1050, 0.06)</f>
        <v>5.2276115857370405E-3</v>
      </c>
      <c r="GI4" s="231">
        <f>IF(B4&lt; 20.1, (-1.516*10^(-7) *  B4^3 + 9.33351*10^(-6) * B4^2 - 1.1177*10^(-4) * B4 + 4.7966*10^(-4)) * C4, 0.0008 * C4)</f>
        <v>1.8891049354999999E-3</v>
      </c>
      <c r="GJ4" s="245">
        <f>AVERAGE(GF4:GI4)</f>
        <v>2.203538654118784E-3</v>
      </c>
      <c r="GK4" s="231">
        <f>STDEV(GF4:GI4)</f>
        <v>2.1869420802745395E-3</v>
      </c>
      <c r="GL4" s="244">
        <f t="shared" ref="GL4:GL35" si="47">(GK4/GJ4)*100</f>
        <v>99.246821751312481</v>
      </c>
      <c r="GN4" s="246">
        <f>IF(B4 &lt; 18,  (0.0008 * B4^5 - 0.0356 * B4^4 + 0.5823 * B4^3 - 4.0437 * B4^2 + 17.888 * B4 + 7.54)  / 1040, 0.18)</f>
        <v>7.2500000000000004E-3</v>
      </c>
      <c r="GO4" s="246">
        <f>IF(B4 &lt; 18,  (0.0008 * B4^5 - 0.0356 * B4^4 + 0.5823 * B4^3 - 4.0437 * B4^2 + 17.888 * B4 + 7.54)  / 1040, 0.18)</f>
        <v>7.2500000000000004E-3</v>
      </c>
      <c r="GP4" s="246">
        <f>0.0021 * C4</f>
        <v>8.2706924999999994E-3</v>
      </c>
      <c r="GQ4" s="247">
        <f>AVERAGE(GM4:GP4)</f>
        <v>7.5902308333333337E-3</v>
      </c>
      <c r="GR4" s="246">
        <f>STDEV(GM4:GP4)</f>
        <v>5.8929708963483148E-4</v>
      </c>
      <c r="GS4" s="248">
        <f t="shared" ref="GS4:GS35" si="48">(GR4/GQ4)*100</f>
        <v>7.7638889063408785</v>
      </c>
      <c r="GU4" s="249">
        <f>0.000274 * C4</f>
        <v>1.0791284499999999E-3</v>
      </c>
      <c r="GV4" s="249">
        <f>AVERAGE(GU4)</f>
        <v>1.0791284499999999E-3</v>
      </c>
      <c r="GW4" s="249" t="e">
        <f>STDEV(GU4)</f>
        <v>#DIV/0!</v>
      </c>
      <c r="GX4" s="250" t="e">
        <f t="shared" ref="GX4:GX35" si="49">(GW4/GV4)*100</f>
        <v>#DIV/0!</v>
      </c>
      <c r="GZ4" s="240">
        <f>3*10^(-4) * C4</f>
        <v>1.1815275000000001E-3</v>
      </c>
      <c r="HA4" s="240">
        <f>AVERAGE(GZ4)</f>
        <v>1.1815275000000001E-3</v>
      </c>
      <c r="HB4" s="240" t="e">
        <f>STDEV(GZ4)</f>
        <v>#DIV/0!</v>
      </c>
      <c r="HC4" s="241" t="e">
        <f t="shared" ref="HC4:HC35" si="50">(HB4/HA4)*100</f>
        <v>#DIV/0!</v>
      </c>
      <c r="HE4" s="234">
        <f>1.19*10^(-3) * C4- 4.302*10^(-4)</f>
        <v>4.2565257499999993E-3</v>
      </c>
      <c r="HF4" s="251">
        <f>AVERAGE(HE4)</f>
        <v>4.2565257499999993E-3</v>
      </c>
      <c r="HG4" s="234" t="e">
        <f>STDEV(HE4)</f>
        <v>#DIV/0!</v>
      </c>
      <c r="HH4" s="252" t="e">
        <f t="shared" ref="HH4:HH35" si="51">(HG4/HF4)*100</f>
        <v>#DIV/0!</v>
      </c>
    </row>
    <row r="5" spans="1:216" ht="17.100000000000001" customHeight="1" x14ac:dyDescent="0.25">
      <c r="B5">
        <v>1</v>
      </c>
      <c r="C5" s="124">
        <f t="shared" ref="C5:C68" si="52">3.938425 + 0.7518199*B5*12 - 0.02023793*(B5*12)^2 + 0.0002921682*(B5*12)^3 - 0.00000206762*(B5*12)^4 + 0.000000008469*(B5*12)^5 - 0.00000000002188427*(B5*12)^6 + 3.699776E-14*(B5*12)^7 - 4.099077E-17*(B5*12)^8 + 2.874804E-20*(B5*12)^9 - 1.159732E-23*(B5*12)^10 + 2.052602E-27*(B5*12)^11</f>
        <v>10.510037681626898</v>
      </c>
      <c r="D5" s="124">
        <f t="shared" ref="D5:D68" si="53">64.35+0.8146*B5*12 - 0.0007474*(B5*12)^2 - 0.000006322*(B5*12)^3 + 0.00000001903*(B5*12)^4 - 0.00000000001995*(B5*12)^5 + 0.000000000000007297*(B5*12)^6</f>
        <v>74.007039647670311</v>
      </c>
      <c r="E5" s="29">
        <f t="shared" ref="E5:E35" si="54">EXP(-3.75+0.42*LN(D5)+0.52*LN(C5))</f>
        <v>0.48721941778674982</v>
      </c>
      <c r="F5" s="29">
        <f t="shared" si="0"/>
        <v>0.44235515040694601</v>
      </c>
      <c r="G5" s="29">
        <f t="shared" si="1"/>
        <v>0.48511246844795469</v>
      </c>
      <c r="H5" s="29">
        <f t="shared" si="2"/>
        <v>0.48721941778674982</v>
      </c>
      <c r="I5" s="29">
        <f t="shared" si="3"/>
        <v>0.47356424375923467</v>
      </c>
      <c r="J5" s="125">
        <f t="shared" si="4"/>
        <v>0.47509413963752695</v>
      </c>
      <c r="K5" s="126">
        <f t="shared" si="5"/>
        <v>1.9161117202451953E-2</v>
      </c>
      <c r="L5" s="126">
        <f t="shared" ref="L5:L68" si="55">(K5/J5)*100</f>
        <v>4.0331200921718224</v>
      </c>
      <c r="N5" s="138">
        <f t="shared" ref="N5:N68" si="56">((3.5*E5*60)+(3.5*F5*60)+(3.5*G5*60)+(3.5*H5*60)+(3.5*I5*60))/5</f>
        <v>99.769769323880666</v>
      </c>
      <c r="O5" s="138">
        <f t="shared" ref="O5:O68" si="57">IF(B5&lt; 18, 0.012 * B5^3 - 1.2144 * B5^2 + 40.324 * B5 + 44.414, 325.7924)</f>
        <v>83.535600000000002</v>
      </c>
      <c r="P5" s="138">
        <f t="shared" ref="P5:P68" si="58">((6.4837 - 1.59948 *B5 + 214.68572 *E5)+(6.4837 - 1.59948 *B5 + 214.68572 *F5)+(6.4837 - 1.59948 *B5 + 214.68572 *G5)+(6.4837 - 1.59948 *B5 + 214.68572 *H5)+(6.4837 - 1.59948 *B5 + 214.68572 *I5))/5</f>
        <v>106.88014743586305</v>
      </c>
      <c r="Q5" s="138">
        <f t="shared" ref="Q5:Q68" si="59">(0.2519 * C5^0.7609) * 60</f>
        <v>90.514490113370371</v>
      </c>
      <c r="R5" s="138">
        <f t="shared" ref="R5:R68" si="60">(3.5 *E5* 60+3.5 *F5* 60+3.5 *G5* 60+3.5 *H5* 60+3.5 *I5* 60)/5</f>
        <v>99.769769323880666</v>
      </c>
      <c r="S5" s="138">
        <f t="shared" ref="S5:S68" si="61">IF(B5&lt;=33.37, (6.642+(0.6-6.642)*EXP(-0.1323*B5))*60, (-0.000895*B5^2+0.0607*B5+5.54)*60)</f>
        <v>80.924155510414749</v>
      </c>
      <c r="T5" s="138">
        <f t="shared" ref="T5:T68" si="62">AVERAGE(N5:S5)</f>
        <v>93.565655284568251</v>
      </c>
      <c r="U5" s="138">
        <f t="shared" ref="U5:U68" si="63">STDEV(N5:S5)</f>
        <v>10.236961441031486</v>
      </c>
      <c r="V5" s="138">
        <f t="shared" ref="V5:V68" si="64">(U5/T5)*100</f>
        <v>10.940939183183238</v>
      </c>
      <c r="X5" s="227">
        <f t="shared" ref="X5:X68" si="65">IF(B5 &lt; 2, 0.359, (0.00000112815 * B5^3) - (0.000172362 * B5^2) + (0.00815264 * B5) + 0.327363 )</f>
        <v>0.35899999999999999</v>
      </c>
      <c r="Y5" s="227">
        <f t="shared" ref="Y5:Y68" si="66">IF(B5&lt;18,(-0.1*(B5*365.25*24)^(0.00000000000966))-0.1*(B5*365.25*24)^0.00000155+0.00000055*B5*365.25*24+0.58,0.47)</f>
        <v>0.38481989279276752</v>
      </c>
      <c r="Z5" s="227">
        <f t="shared" ref="Z5:Z68" si="67">IF(B5 &lt; 2, 0.359, (0.00000112815 * B5^3) - (0.000172362 * B5^2) + (0.00815264 * B5) + 0.327363)</f>
        <v>0.35899999999999999</v>
      </c>
      <c r="AA5" s="227">
        <f t="shared" ref="AA5:AA68" si="68">AVERAGE(X5:Z5)</f>
        <v>0.3676066309309225</v>
      </c>
      <c r="AB5" s="227">
        <f t="shared" ref="AB5:AB68" si="69">STDEV(X5:Z5)</f>
        <v>1.4907122054351612E-2</v>
      </c>
      <c r="AC5" s="227">
        <f t="shared" ref="AC5:AC68" si="70">(AB5/AA5)*100</f>
        <v>4.0551831224047836</v>
      </c>
      <c r="AE5" s="228">
        <f t="shared" ref="AE5:AE68" si="71">(10^(1.2082*LOG10(AVERAGE(E5:I5))+3.2869)/1000)</f>
        <v>0.78774417663332696</v>
      </c>
      <c r="AF5" s="228">
        <f t="shared" ref="AF5:AF68" si="72">IF(B5 &lt; 18, (-0.0623 * B5^5 + 2.4425 * B5^4 - 31.37 * B5^3 + 149.98 * B5^2 + 31.305 * B5 + 393.7) / 1000, 5.285)</f>
        <v>0.5459951999999999</v>
      </c>
      <c r="AG5" s="228">
        <f t="shared" ref="AG5:AG68" si="73">(10^(1.2082*LOG10(AVERAGE(E5:I5))+3.2869)/1000)</f>
        <v>0.78774417663332696</v>
      </c>
      <c r="AH5" s="228">
        <f t="shared" ref="AH5:AH68" si="74">(0.0897 - 0.00000035 *C5 + 0.000000000000654 * C5^2) * C5</f>
        <v>0.94271171948896859</v>
      </c>
      <c r="AI5" s="228">
        <f t="shared" ref="AI5:AI68" si="75">IF(B5 &lt; 18, (-0.0623 * B5^5 + 2.4425 * B5^4 - 31.37 * B5^3 + 149.98 * B5^2 + 31.305 * B5 + 393.7) / 1000, 5.285)</f>
        <v>0.5459951999999999</v>
      </c>
      <c r="AJ5" s="228">
        <f t="shared" ref="AJ5:AJ68" si="76">IF(B5&lt;=1,(-0.0273*B5+0.0771)*C5,(0.0761+(0.0289-0.0761)*EXP(-0.592*B5))*C5)</f>
        <v>0.52339987654501952</v>
      </c>
      <c r="AK5" s="228">
        <f t="shared" ref="AK5:AK68" si="77">(3.33 * AVERAGE(E5:I5) - 0.81) / 1.06</f>
        <v>0.72836177829524962</v>
      </c>
      <c r="AL5" s="228">
        <f t="shared" ref="AL5:AL68" si="78">AVERAGE(AE5:AK5)</f>
        <v>0.69456458965655599</v>
      </c>
      <c r="AM5" s="228">
        <f t="shared" ref="AM5:AM68" si="79">STDEV(AE5:AK5)</f>
        <v>0.15996208142487192</v>
      </c>
      <c r="AN5" s="228">
        <f t="shared" ref="AN5:AN68" si="80">(AM5/AL5)*100</f>
        <v>23.030555229423513</v>
      </c>
      <c r="AP5" s="229">
        <f t="shared" ref="AP5:AP26" si="81">10 * (B5 + 0.315)/(9+6.92 * B5)</f>
        <v>0.82600502512562801</v>
      </c>
      <c r="AQ5" s="229">
        <f t="shared" ref="AQ5:AQ26" si="82">IF(B5 &lt; 18, 10 * (B5 + 0.213) / (6.03 + 6.895 * B5), 1.4)</f>
        <v>0.93849129593810443</v>
      </c>
      <c r="AR5" s="229">
        <f t="shared" ref="AR5:AR26" si="83">IF(B5 &lt; 18,  (-0.0503 * B5*365.25*24 + 0.907 *  (B5*365.25*24)^(0.769) + 0.0395) / 1000, 1.47)</f>
        <v>0.53549585971290048</v>
      </c>
      <c r="AS5" s="229">
        <f t="shared" ref="AS5:AS26" si="84">0.218096 - 0.00159 * B5 - 0.003274 * C5 + 0.008626 *D5</f>
        <v>0.82048086063115766</v>
      </c>
      <c r="AT5" s="229">
        <f t="shared" ref="AT5:AT26" si="85">10 * (B5 + 0.315)/(9+6.92 * B5)</f>
        <v>0.82600502512562801</v>
      </c>
      <c r="AU5" s="229">
        <f t="shared" ref="AU5:AU26" si="86">(0.1216 - 0.000003456 * C5*1000 + 0.00000000004354 * (C5*1000)^2 - 0.0000000000000002463 * (C5*1000)^3 + 5.132E-22 * (C5*1000)^4) * B5</f>
        <v>8.9807097352176249E-2</v>
      </c>
      <c r="AV5" s="229">
        <f t="shared" ref="AV5:AV26" si="87">IF(B5 &lt; 18, 10 * (B5 + 0.213) / (6.03 + 6.895 * B5), 1.4)</f>
        <v>0.93849129593810443</v>
      </c>
      <c r="AW5" s="229">
        <f t="shared" ref="AW5:AW26" si="88">1.45 + (0.35 - 1.45) * EXP(-0.44 * B5)</f>
        <v>0.74155993680854437</v>
      </c>
      <c r="AX5" s="229">
        <f t="shared" ref="AX5:AX26" si="89">(0.425 * ((3.68 - 2.68 * EXP(-B5/0.89)) * EXP(-B5/629))) / 1.03</f>
        <v>1.1570920910475202</v>
      </c>
      <c r="AY5" s="229">
        <f t="shared" ref="AY5:AY68" si="90">AVERAGE(AP5:AX5)</f>
        <v>0.76371427640886269</v>
      </c>
      <c r="AZ5" s="229">
        <f t="shared" ref="AZ5:AZ68" si="91">STDEV(AP5:AX5)</f>
        <v>0.3028093840320743</v>
      </c>
      <c r="BA5" s="229">
        <f t="shared" ref="BA5:BA68" si="92">(AZ5/AY5)*100</f>
        <v>39.649564422959934</v>
      </c>
      <c r="BC5" s="230">
        <f t="shared" ref="BC5:BC68" si="93">IF(B5 &lt; 18,  (-0.0306 * B5^5 + 0.5222 * B5^4 + 9.7109 * B5^3 - 197.97 * B5^2 + 1089.7 * B5 + 546.6) / 1000, 9.65)</f>
        <v>1.4485325000000002</v>
      </c>
      <c r="BD5" s="230">
        <f t="shared" ref="BD5:BD68" si="94">IF(B5 &lt; 18, (0.0597 * B5*365.25*24 + 0.907 * (B5*365.25*24)^(0.769) + 395) / 1000, 11.73)</f>
        <v>1.8947163597129006</v>
      </c>
      <c r="BE5" s="230">
        <f t="shared" ref="BE5:BE68" si="95">IF(B5 &lt; 18, (-0.0306 * B5^5 + 0.5222 * B5^4 + 9.7109 * B5^3 - 197.97 * B5^2 + 1089.7 *B5+ 546.6) / 1000, 9.65)</f>
        <v>1.4485325000000002</v>
      </c>
      <c r="BF5" s="230">
        <f t="shared" ref="BF5:BF68" si="96">IF(B5 &lt; 50, (0.89983 + (2.9901 - 0.89989) / (1 + EXP(14.17081 - B5) / 1.58179)) / 0.65 / 0.5, (0.89983 + (2.9901 - 0.89989) / (1 + EXP(14.17081 - B5) / 1.58179) - (0.0019 * B5)) / 0.65 / 0.5)</f>
        <v>2.7687270763331573</v>
      </c>
      <c r="BG5" s="230">
        <f t="shared" ref="BG5:BG68" si="97">AVERAGE(BC5:BF5)</f>
        <v>1.8901271090115146</v>
      </c>
      <c r="BH5" s="230">
        <f t="shared" ref="BH5:BH68" si="98">STDEV(BC5:BF5)</f>
        <v>0.62235321193452442</v>
      </c>
      <c r="BI5" s="230">
        <f t="shared" ref="BI5:BI68" si="99">(BH5/BG5)*100</f>
        <v>32.92652694981971</v>
      </c>
      <c r="BK5" s="227">
        <f t="shared" si="6"/>
        <v>0.94665576923076922</v>
      </c>
      <c r="BL5" s="227">
        <f t="shared" si="7"/>
        <v>1.1720936769223231</v>
      </c>
      <c r="BM5" s="227">
        <f t="shared" si="8"/>
        <v>2.2994174074995497</v>
      </c>
      <c r="BN5" s="227">
        <f t="shared" si="9"/>
        <v>2.6106369444160022</v>
      </c>
      <c r="BO5" s="227">
        <f t="shared" si="10"/>
        <v>0.94665576923076922</v>
      </c>
      <c r="BP5" s="227">
        <f t="shared" si="11"/>
        <v>2.3838399574543483</v>
      </c>
      <c r="BQ5" s="227">
        <f t="shared" si="12"/>
        <v>2.6108346956951674</v>
      </c>
      <c r="BR5" s="227">
        <f t="shared" ref="BR5:BR68" si="100">AVERAGE(BK5:BQ5)</f>
        <v>1.85287631720699</v>
      </c>
      <c r="BS5" s="227">
        <f t="shared" ref="BS5:BS68" si="101">STDEV(BK5:BQ5)</f>
        <v>0.78908805705432505</v>
      </c>
      <c r="BT5" s="227">
        <f t="shared" si="13"/>
        <v>42.587195363573414</v>
      </c>
      <c r="BV5" s="231">
        <f t="shared" ref="BV5:BV68" si="102">IF(B5 &lt; 18, (0.0009737*(B5^5)-0.0561*(B5^4)+1.1729*(B5^3)-10.34*(B5^2)+44.604 *B5+28.291)/1050, 0.26)</f>
        <v>6.064073685714285E-2</v>
      </c>
      <c r="BW5" s="231">
        <f t="shared" ref="BW5:BW68" si="103">0.05668 - 0.0004962 * B5 + 0.003501 * C5</f>
        <v>9.2979441923375761E-2</v>
      </c>
      <c r="BX5" s="231">
        <f t="shared" ref="BX5:BX68" si="104">(0.00726 - 0.0000000669 * (C5*1000) + 0.000000000000333 * (C5*1000)^2) * C5</f>
        <v>6.9299635619132507E-2</v>
      </c>
      <c r="BY5" s="231">
        <f t="shared" ref="BY5:BY68" si="105">IF(B5 &lt; 18, (0.0009737 * B5^5 - 0.0561*B5^4 + 1.1729*B5^3 - 10.34 *B5^2 + 44.604*B5 + 28.291)/1050, 0.26)</f>
        <v>6.064073685714285E-2</v>
      </c>
      <c r="BZ5" s="231">
        <f t="shared" ref="BZ5:BZ68" si="106">(0.0042 + (0.00767 - 0.0042) * EXP(-0.218 *B5)) * C5</f>
        <v>7.3468477026399304E-2</v>
      </c>
      <c r="CA5" s="231">
        <f t="shared" ref="CA5:CA68" si="107">((10.24 *(D5/100) * SQRT(C5 + 7.85) + (9.88 *(D5/100) * SQRT(C5) + 7.2)) / 1050)</f>
        <v>6.0358692075509604E-2</v>
      </c>
      <c r="CB5" s="231">
        <f t="shared" ref="CB5:CB68" si="108">IF(B5 &lt; 18, (3.17*10^(-2) * (B5*365.25*24) + 1.44*10^(-2) * (B5*365.25*24)^(1.06) + 38) / 20000, 0.48)</f>
        <v>2.6675942851800322E-2</v>
      </c>
      <c r="CC5" s="231">
        <f t="shared" ref="CC5:CC68" si="109">EXP(-2.306 * ((D5/100)^(-1.93)))</f>
        <v>1.6203694519862449E-2</v>
      </c>
      <c r="CD5" s="231">
        <f t="shared" ref="CD5:CD68" si="110">AVERAGE(BV5:CC5)</f>
        <v>5.7533419716295706E-2</v>
      </c>
      <c r="CE5" s="231">
        <f t="shared" ref="CE5:CE68" si="111">STDEV(BV5:CC5)</f>
        <v>2.4889508533402386E-2</v>
      </c>
      <c r="CF5" s="231">
        <f t="shared" si="14"/>
        <v>43.260957989522581</v>
      </c>
      <c r="CH5" s="232">
        <f t="shared" ref="CH5:CH68" si="112">IF(B5 &lt;= 22, 0.05012*C5^0.78, (1.07828 * AVERAGE(E5:I5) - 0.3457) * (0.05012*76.28^0.78 / (1.0728 * 1.99 - 0.3457)))</f>
        <v>0.31395137925421057</v>
      </c>
      <c r="CI5" s="232">
        <f t="shared" ref="CI5:CI68" si="113">IF(B5 &lt; 18, (0.0072 * B5^5 - 0.3975 * B5^4 + 7.9052 * B5^3 - 65.624 * B5^2 + 262.02 * B5 + 157.52) / 1050, 1.52)</f>
        <v>0.34421990476190473</v>
      </c>
      <c r="CJ5" s="232">
        <f t="shared" ref="CJ5:CJ68" si="114">IF(B5 &lt; 18, (2.79*10^-3 * (B5*365.25*24) + 1.1 * (B5*365.25*24)^(6.03*10^-1) + 1.6*10^2) / 1000, 2.1)</f>
        <v>0.44681976613415542</v>
      </c>
      <c r="CK5" s="232">
        <f t="shared" ref="CK5:CK68" si="115">(0.0247 + (0.0409 - 0.0247) * EXP(-0.218 * B5)) * C5</f>
        <v>0.39651042755744509</v>
      </c>
      <c r="CL5" s="232">
        <f t="shared" ref="CL5:CL68" si="116">-0.0143744 - 0.0044728 * B5 + 0.0264591 *C5</f>
        <v>0.25923893802193421</v>
      </c>
      <c r="CM5" s="232">
        <f t="shared" ref="CM5:CM68" si="117">0.05012 * C5^0.78</f>
        <v>0.31395137925421057</v>
      </c>
      <c r="CN5" s="232">
        <f t="shared" ref="CN5:CN68" si="118">IF(B5 &lt;= 22, 0.05012*C5^0.78, (1.07828 * AVERAGE(E5:I5) - 0.3457) * (0.05012*77.06^0.78 / (1.0728 * 2 - 0.3457)))</f>
        <v>0.31395137925421057</v>
      </c>
      <c r="CO5" s="232">
        <f t="shared" ref="CO5:CO68" si="119">(3.939*10^(-2) - 7.058*10^(-7) * C5*1000 + 1.155*10^(-11) * (C5 * 1000)^2 - 8.016*10^(-17) * (C5 * 1000)^3 + 1.869*10^(-22) * (C5 * 1000)^4) * C5</f>
        <v>0.34848192463681604</v>
      </c>
      <c r="CP5" s="232">
        <f t="shared" ref="CP5:CP68" si="120">IF(B5 &lt; 18, (0.0072 * B5^5 - 0.3975 * B5^4 + 7.9052 *B5^3 - 65.624 * B5^2 + 262.02 *B5 + 157.52) / 1050, 1.52)</f>
        <v>0.34421990476190473</v>
      </c>
      <c r="CQ5" s="232">
        <f t="shared" ref="CQ5:CQ68" si="121">(576.9 * D5/100 + 8.9 * C5 - 159.7) / 1050</f>
        <v>0.3436056638989422</v>
      </c>
      <c r="CR5" s="232">
        <f t="shared" ref="CR5:CR68" si="122">AVERAGE(CH5:CQ5)</f>
        <v>0.34249506675357344</v>
      </c>
      <c r="CS5" s="232">
        <f t="shared" ref="CS5:CS68" si="123">STDEV(CH5:CQ5)</f>
        <v>5.0793850665462652E-2</v>
      </c>
      <c r="CT5" s="232">
        <f t="shared" si="15"/>
        <v>14.830534975853835</v>
      </c>
      <c r="CV5" s="229">
        <f t="shared" si="16"/>
        <v>0.15653838095238096</v>
      </c>
      <c r="CW5" s="229">
        <f t="shared" si="17"/>
        <v>5.746847479291782E-2</v>
      </c>
      <c r="CX5" s="229">
        <f t="shared" si="18"/>
        <v>5.7181280595354919E-2</v>
      </c>
      <c r="CY5" s="229">
        <f t="shared" si="19"/>
        <v>1.9520284838383854E-2</v>
      </c>
      <c r="CZ5" s="229">
        <f t="shared" si="20"/>
        <v>0.19046073028911095</v>
      </c>
      <c r="DA5" s="229">
        <f t="shared" si="21"/>
        <v>0.15653838095238096</v>
      </c>
      <c r="DB5" s="229">
        <f t="shared" si="22"/>
        <v>7.1468256235062894E-2</v>
      </c>
      <c r="DC5" s="229">
        <f t="shared" si="23"/>
        <v>0.1632966363754659</v>
      </c>
      <c r="DD5" s="229">
        <f t="shared" si="24"/>
        <v>0.10905905312888228</v>
      </c>
      <c r="DE5" s="229">
        <f t="shared" si="25"/>
        <v>6.420911341217439E-2</v>
      </c>
      <c r="DF5" s="229">
        <f t="shared" si="26"/>
        <v>58.875546385217781</v>
      </c>
      <c r="DH5" s="234">
        <f t="shared" ref="DH5:DH68" si="124">1.48*10^(-3) * B5</f>
        <v>1.48E-3</v>
      </c>
      <c r="DI5" s="234">
        <f t="shared" ref="DI5:DI68" si="125">0.002 * B5</f>
        <v>2E-3</v>
      </c>
      <c r="DJ5" s="234">
        <f t="shared" ref="DJ5:DJ68" si="126">(7.6*(D5/100)*SQRT(C5)-0.79)/1045</f>
        <v>1.669309660589088E-2</v>
      </c>
      <c r="DK5" s="234">
        <f t="shared" si="27"/>
        <v>6.7243655352969599E-3</v>
      </c>
      <c r="DL5" s="234">
        <f t="shared" si="28"/>
        <v>8.6370885932916339E-3</v>
      </c>
      <c r="DM5" s="234">
        <f t="shared" si="29"/>
        <v>128.44466214625859</v>
      </c>
      <c r="DO5" s="229">
        <f t="shared" ref="DO5:DO68" si="127">IF(B5 &lt; 18, (-0.0992 * B5^4 + 4.2762 * B5^3 - 62.165 * B5^2 + 432.78 * B5 + 203.2) / 1000, 2.38)</f>
        <v>0.57799199999999995</v>
      </c>
      <c r="DP5" s="229">
        <f t="shared" ref="DP5:DP68" si="128">IF(B5 &lt;= 18,  (2.88*10^(-1) * (B5*365.25*24) + 2.71*10^(-1) * (B5 * 365.25 * 24)^0.998 + 200) / 25000, 3.49)</f>
        <v>0.20229796317347121</v>
      </c>
      <c r="DQ5" s="229">
        <f t="shared" ref="DQ5:DQ68" si="129">IF(B5 &lt; 10, 0.664 * AVERAGE(E5:I5) + 7.85*10^(-2)*AVERAGE(E5:I5)^1.049, IF(B5 &lt; 20, (-9.356*10^(-5) - 2.151*10^(-5) * B5 - 5.058*10^(-1) * AVERAGE(E5:I5) + 1.134*10^(-6) * B5^2 + 0.117 * B5 * AVERAGE(E5:I5)- 1.673*10^(-5) * AVERAGE(E5:I5)^2) +  (7.85*10^(-2)*AVERAGE(E5:I5)^1.049), 1.834 * AVERAGE(E5:I5) + (7.85*10^(-2) * AVERAGE(E5:I5)^1.049)))</f>
        <v>0.35142183398383875</v>
      </c>
      <c r="DR5" s="229">
        <f t="shared" ref="DR5:DR68" si="130">AVERAGE(E5:I5)*10000 * 0.15 / 1000</f>
        <v>0.71264120945629039</v>
      </c>
      <c r="DS5" s="229">
        <f t="shared" ref="DS5:DS68" si="131">(1.03 * 10^(-1) - 2.56 * 10^(-6) * C5*1000 + 3.68 * 10^(-11) * (C5*1000)^2 - 2.58 * 10^(-16) * (C5 * 1000)^3 + 8.62 * 10^(-22) * (C5 * 1000)^4 - 1.1 * 10^(-27) * (C5*1000)^5)  * C5</f>
        <v>0.83943793370363295</v>
      </c>
      <c r="DT5" s="229">
        <f t="shared" ref="DT5:DT68" si="132">IF(B5 &lt; 18, (-0.0992 * B5^4 + 4.2762 * B5^3 - 62.165 * B5^2 + 432.78 * B5 + 203.2) / 1000, 2.38)</f>
        <v>0.57799199999999995</v>
      </c>
      <c r="DU5" s="229">
        <f t="shared" ref="DU5:DU68" si="133">IF(B5 &lt; 20, (-1.171 * 10^(-5) * B5^3 + 5.413*10^(-4) * B5^2 - 6.1966*10^(-3) * B5 + 4.623*10^(-3)) *B5, 0.0452 * B5)</f>
        <v>-1.0440099999999997E-3</v>
      </c>
      <c r="DV5" s="229">
        <f t="shared" ref="DV5:DV68" si="134">EXP(1.64 * AVERAGE(E5:I5) - 1.93) / 1.116</f>
        <v>0.28348488442700237</v>
      </c>
      <c r="DW5" s="229">
        <f t="shared" si="30"/>
        <v>0.44302797684302947</v>
      </c>
      <c r="DX5" s="229">
        <f t="shared" si="31"/>
        <v>0.28164295454632865</v>
      </c>
      <c r="DY5" s="229">
        <f t="shared" si="32"/>
        <v>63.572272919034724</v>
      </c>
      <c r="EA5" s="235">
        <f t="shared" ref="EA5:EA68" si="135">IF(B5 &lt; 18, (-0.0091 * B5^4 + 0.3457 * B5^3 - 4.0754 * B5^2 + 22.269 * B5 + 11.05) / 1054, 0.14)</f>
        <v>2.806470588235294E-2</v>
      </c>
      <c r="EB5" s="235">
        <f t="shared" ref="EB5:EB68" si="136">(3.12 * 10^(-3) - 5.57 * 10^(-9) * C5*1000) * C5</f>
        <v>3.2176050397850382E-2</v>
      </c>
      <c r="EC5" s="235">
        <f t="shared" ref="EC5:EC68" si="137">IF(B5 &lt; 18, (-0.0091 * B5^4 + 0.3457 * B5^3 - 4.0754 * B5^2 + 22.269 * B5 + 11.05) / 1054, 0.14)</f>
        <v>2.806470588235294E-2</v>
      </c>
      <c r="ED5" s="235">
        <f t="shared" ref="ED5:ED68" si="138">0.0021 * C5</f>
        <v>2.2071079131416482E-2</v>
      </c>
      <c r="EE5" s="235">
        <f t="shared" ref="EE5:EE68" si="139">(8.74 * D5/100 * SQRT(C5) + 11.06) / 1054</f>
        <v>3.0388452415682509E-2</v>
      </c>
      <c r="EF5" s="235">
        <f t="shared" ref="EF5:EF68" si="140">AVERAGE(EA5:EE5)</f>
        <v>2.815299874193105E-2</v>
      </c>
      <c r="EG5" s="235">
        <f t="shared" ref="EG5:EG68" si="141">STDEV(EA5:EE5)</f>
        <v>3.814037727938425E-3</v>
      </c>
      <c r="EH5" s="235">
        <f t="shared" si="33"/>
        <v>13.547536313628292</v>
      </c>
      <c r="EJ5" s="229">
        <f t="shared" ref="EJ5:EJ68" si="142">IF(B5&lt;=18,(0.0165*B5^5 - 1.9784*B5^4 + 51.963*B5^3 - 459.38*B5^2 + 1566.8*B5 + 1004.2)/916, (0.0165*18^5 - 1.9784*18^4 + 51.963*18^3 - 459.38*18^2 + 1566.8*18 + 1004.2)/916)</f>
        <v>2.359848362445415</v>
      </c>
      <c r="EK5" s="229">
        <f t="shared" ref="EK5:EK68" si="143">IF(B5&lt;=25,((1.4471*EXP(-0.0761*B5)+0.52)*(C5/(D5/100)^2) - 0.10124*B5+5.0465)*C5/100, (-6.0487*(C5/(D5/100)^2) + 0.1177*(C5/(D5/100)^2)^2 + 0.03155*B5 + 97.2025) * 0.979 *C5/100)</f>
        <v>4.2731347288818293</v>
      </c>
      <c r="EL5" s="229">
        <f t="shared" ref="EL5:EL68" si="144">IF(B5 &lt; 18, (0.0165 * B5^5 - 1.9784 * B5^4 + 51.963 * B5^3 - 459.39 * B5^2 + 1566.8 * B5 + 1004.2) / 1000, 6.91)</f>
        <v>2.1616111</v>
      </c>
      <c r="EM5" s="229">
        <f t="shared" ref="EM5:EM68" si="145">IF(B5 &lt;= 18, (2.54*10^(-2) * (B5 * 365.25 * 24) + 1.88 * 10^1 *(B5 * 365.25 * 24)^(5.2*10^(-1)) + 9.06 * 10^(-2)) / 1000, 14.4)</f>
        <v>2.3333891738139738</v>
      </c>
      <c r="EN5" s="229">
        <f t="shared" ref="EN5:EN68" si="146">1.3054356 + 0.3622685 * B5 - 0.0025165 * B5^2 + 0.0906119 * C5 + 0.0001731 * C5^2</f>
        <v>2.6366428638209896</v>
      </c>
      <c r="EO5" s="229">
        <f t="shared" si="34"/>
        <v>6.0063844033090446</v>
      </c>
      <c r="EP5" s="229">
        <f t="shared" ref="EP5:EP68" si="147">(3.484 * 10^(-2) + 2.803 * 10^(-5) * (C5*1000) - 1.422*10^(-9) * (C5*1000)^2 + 2.892 * 10^(-14) * (C5*1000)^3 - 2.718*10^(-19) * (C5*1000)^4 + 1.203*10^(-24) * (C5*1000)^5 - 2.036*10^(-30) * (C5*1000)^6) *(C5)</f>
        <v>2.1311278915612299</v>
      </c>
      <c r="EQ5" s="229">
        <f t="shared" ref="EQ5:EQ68" si="148">AVERAGE(EJ5:EP5)</f>
        <v>3.1288769319760692</v>
      </c>
      <c r="ER5" s="229">
        <f t="shared" ref="ER5:ER68" si="149">STDEV(EJ5:EP5)</f>
        <v>1.4712229370326808</v>
      </c>
      <c r="ES5" s="229">
        <f t="shared" si="35"/>
        <v>47.02079912435282</v>
      </c>
      <c r="EU5" s="238">
        <f t="shared" ref="EU5:EU11" si="150">(2 * 10^(-4) + (1.71*10^(-3) - 2 * 10^(-4)) * EXP(-2.02 * B5)) * C5</f>
        <v>4.207270580690768E-3</v>
      </c>
      <c r="EV5" s="238">
        <f t="shared" ref="EV5:EV68" si="151">AVERAGE(EU5)</f>
        <v>4.207270580690768E-3</v>
      </c>
      <c r="EW5" s="238" t="e">
        <f t="shared" ref="EW5:EW68" si="152">STDEV(EU5)</f>
        <v>#DIV/0!</v>
      </c>
      <c r="EX5" s="238" t="e">
        <f t="shared" si="36"/>
        <v>#DIV/0!</v>
      </c>
      <c r="EZ5" s="240">
        <f t="shared" ref="EZ5:EZ68" si="153">(3.42 * 10^(-4) * (1 / (1+EXP(-1.42 * B5 + 20.1)))) *C5</f>
        <v>2.7733804758143569E-11</v>
      </c>
      <c r="FA5" s="240">
        <f t="shared" ref="FA5:FA68" si="154">AVERAGE(EZ5)</f>
        <v>2.7733804758143569E-11</v>
      </c>
      <c r="FB5" s="240" t="e">
        <f t="shared" ref="FB5:FB68" si="155">STDEV(EZ5)</f>
        <v>#DIV/0!</v>
      </c>
      <c r="FC5" s="240" t="e">
        <f t="shared" si="37"/>
        <v>#DIV/0!</v>
      </c>
      <c r="FE5" s="236">
        <f t="shared" ref="FE5:FE68" si="156">IF(B5 &lt; 18, (-4.7817*10^(-2) * B5^4 + 1.925 * B5^3 - 22.382 * B5^2 + 107.09 * B5 + 51.125) / 1040, 0.9)</f>
        <v>0.13241363750000001</v>
      </c>
      <c r="FF5" s="236">
        <f t="shared" ref="FF5:FF68" si="157">IF(B5 &lt; 18,  (8.2 * 10^(-2) * (B5 * 365.25 * 24) + 4.41*10^(-2) * (B5 * 365.25 * 24)^(1.04) + 9*10^1) / 20000, 1.2)</f>
        <v>6.8232748316178704E-2</v>
      </c>
      <c r="FG5" s="236">
        <f t="shared" ref="FG5:FG68" si="158">0.021 * (C5 - AVERAGE(EK5:EP5))</f>
        <v>0.15231277574931013</v>
      </c>
      <c r="FH5" s="236">
        <f t="shared" ref="FH5:FH68" si="159">1.65 * 10^(-2) * C5</f>
        <v>0.17341562174684383</v>
      </c>
      <c r="FI5" s="236">
        <f t="shared" ref="FI5:FI68" si="160">IF(C5 &lt; 18, (-4.7817*10^(-2) * C5^4 + 1.925 * C5^3 - 22.382 * C5^2 + 107.09 * C5 + 51.125) / 1040, 0.9)</f>
        <v>0.34200970439885253</v>
      </c>
      <c r="FJ5" s="236">
        <f t="shared" ref="FJ5:FJ68" si="161">IF(B5 &lt; 16, (-8.2562 * 10^(-5) * B5^2 + 1.3523 * 10^(-3) * B5 + 1.293 * 10^(-2)) * C5,0.014 * C5)</f>
        <v>0.14923978144922934</v>
      </c>
      <c r="FK5" s="236">
        <f t="shared" si="38"/>
        <v>0.16960404486006908</v>
      </c>
      <c r="FL5" s="236">
        <f t="shared" si="39"/>
        <v>9.1772759502687665E-2</v>
      </c>
      <c r="FM5" s="236">
        <f t="shared" si="40"/>
        <v>54.110006384814881</v>
      </c>
      <c r="FO5" s="227">
        <f t="shared" ref="FO5:FO68" si="162">IF(B5 &lt; 18,  (-0.0132 * B5^4 + 0.5051 * B5^3 - 5.7113 * B5^2 + 32.213 * B5 + 20.354) / 1030, 0.3)</f>
        <v>4.5968543689320386E-2</v>
      </c>
      <c r="FP5" s="227">
        <f t="shared" ref="FP5:FP68" si="163">IF(B5 &lt; 18,  (4.68*10^(-2)*(B5*365.25 *24)-3.81*10^(-2) *(B5*365.25*24)^(1.01)+2.8*10^1)/2000,0.32)</f>
        <v>3.6261980811508832E-2</v>
      </c>
      <c r="FQ5" s="227">
        <f t="shared" ref="FQ5:FQ68" si="164">1.017*10^(-7) * (D5^(0.664) * C5^(0.3851) * 242.7)^1.42</f>
        <v>5.1913022584447077E-2</v>
      </c>
      <c r="FR5" s="227">
        <f t="shared" ref="FR5:FR68" si="165">IF(B5 &lt; 18,  (-0.0132 * B5^4 + 0.5051 * B5^3 - 5.7113 * B5^2 + 32.213 * B5 + 20.354) / 1030, 0.3)</f>
        <v>4.5968543689320386E-2</v>
      </c>
      <c r="FS5" s="227">
        <f t="shared" ref="FS5:FS68" si="166">0.0045 * C5</f>
        <v>4.7295169567321035E-2</v>
      </c>
      <c r="FT5" s="227">
        <f t="shared" si="41"/>
        <v>4.548145206838354E-2</v>
      </c>
      <c r="FU5" s="227">
        <f t="shared" si="42"/>
        <v>5.7036794532074331E-3</v>
      </c>
      <c r="FV5" s="227">
        <f t="shared" si="43"/>
        <v>12.540671402996717</v>
      </c>
      <c r="FX5" s="230">
        <f t="shared" ref="FX5:FX68" si="167">IF(B5 &lt; 18, (1.9956 * 10^(-3) * B5^6 - 0.11169 * B5^5 + 2.189 * B5^4 - 17.726 * B5^3 + 59.767 * B5^2 + 14.405  * B5 + 73.716) / 1000, 2.94)</f>
        <v>0.1322413056</v>
      </c>
      <c r="FY5" s="230">
        <f t="shared" ref="FY5:FY68" si="168">2.1 * 10^(-2) * C5</f>
        <v>0.22071079131416488</v>
      </c>
      <c r="FZ5" s="230">
        <f t="shared" ref="FZ5:FZ68" si="169">IF(B5 &lt; 18, (1.9956 * 10^(-3) * B5^6 - 0.11169 * B5^5 + 2.189 * B5^4 - 17.726 * B5^3 + 59.767 * B5^2 + 14.405  * B5 + 73.716) / 1000, 2.94)</f>
        <v>0.1322413056</v>
      </c>
      <c r="GA5" s="230">
        <f t="shared" ref="GA5:GA68" si="170">(0.05 + (0.0138 - 0.05) * EXP(-0.112 * B5)) * C5</f>
        <v>0.18535079824091849</v>
      </c>
      <c r="GB5" s="230">
        <f t="shared" si="44"/>
        <v>0.16763605018877084</v>
      </c>
      <c r="GC5" s="230">
        <f t="shared" si="45"/>
        <v>4.3344804890887483E-2</v>
      </c>
      <c r="GD5" s="230">
        <f t="shared" si="46"/>
        <v>25.856493780471425</v>
      </c>
      <c r="GF5" s="231">
        <f t="shared" ref="GF5:GF68" si="171">IF(B5 &lt; 18,  (0.0013 * B5^4 - 0.01 * B5^3 - 0.0104 * B5^2 + 1.0584 * B5+ 1.78) / 1050, 0.06)</f>
        <v>2.685047619047619E-3</v>
      </c>
      <c r="GG5" s="231">
        <f t="shared" ref="GG5:GG68" si="172">IF(B5 &lt; 18, (8.52*10^(-2) * (B5 * 365.25 * 24) + 8.31*10^(-2) * (B5 * 365.24 * 24)^(9.99*10^-1) + 1.1) / 500000, 0.05)</f>
        <v>2.9396292230100315E-3</v>
      </c>
      <c r="GH5" s="231">
        <f t="shared" ref="GH5:GH68" si="173">IF(C5 &lt; 18,  (0.0013 * C5^4 - 0.01 * C5^3 - 0.0104 * C5^2 + 1.0584 * C5+ 1.78) / 1050, 0.06)</f>
        <v>1.5245371909070044E-2</v>
      </c>
      <c r="GI5" s="231">
        <f t="shared" ref="GI5:GI68" si="174">IF(B5&lt; 20.1, (-1.516*10^(-7) *  B5^3 + 9.33351*10^(-6) * B5^2 - 1.1177*10^(-4) * B5 + 4.7966*10^(-4)) * C5, 0.0008 * C5)</f>
        <v>3.9630399827830258E-3</v>
      </c>
      <c r="GJ5" s="245">
        <f>AVERAGE(GF5:GI5)</f>
        <v>6.20827218347768E-3</v>
      </c>
      <c r="GK5" s="231">
        <f>STDEV(GF5:GI5)</f>
        <v>6.0499966176231837E-3</v>
      </c>
      <c r="GL5" s="231">
        <f t="shared" si="47"/>
        <v>97.450569801438121</v>
      </c>
      <c r="GN5" s="246">
        <f t="shared" ref="GN5:GN68" si="175">IF(B5 &lt; 18,  (0.0008 * B5^5 - 0.0356 * B5^4 + 0.5823 * B5^3 - 4.0437 * B5^2 + 17.888 * B5 + 7.54)  / 1040, 0.18)</f>
        <v>2.1088269230769233E-2</v>
      </c>
      <c r="GO5" s="246">
        <f t="shared" ref="GO5:GO68" si="176">IF(B5 &lt; 18,  (0.0008 * B5^5 - 0.0356 * B5^4 + 0.5823 * B5^3 - 4.0437 * B5^2 + 17.888 * B5 + 7.54)  / 1040, 0.18)</f>
        <v>2.1088269230769233E-2</v>
      </c>
      <c r="GP5" s="246">
        <f t="shared" ref="GP5:GP68" si="177">0.0021 * C5</f>
        <v>2.2071079131416482E-2</v>
      </c>
      <c r="GQ5" s="247">
        <f>AVERAGE(GM5:GP5)</f>
        <v>2.1415872530984981E-2</v>
      </c>
      <c r="GR5" s="246">
        <f>STDEV(GM5:GP5)</f>
        <v>5.6742556070091851E-4</v>
      </c>
      <c r="GS5" s="246">
        <f t="shared" si="48"/>
        <v>2.649556117220786</v>
      </c>
      <c r="GU5" s="249">
        <f t="shared" ref="GU5:GU68" si="178">0.000274 * C5</f>
        <v>2.8797503247657698E-3</v>
      </c>
      <c r="GV5" s="249">
        <f t="shared" ref="GV5:GV68" si="179">AVERAGE(GU5)</f>
        <v>2.8797503247657698E-3</v>
      </c>
      <c r="GW5" s="249" t="e">
        <f t="shared" ref="GW5:GW68" si="180">STDEV(GU5)</f>
        <v>#DIV/0!</v>
      </c>
      <c r="GX5" s="249" t="e">
        <f t="shared" si="49"/>
        <v>#DIV/0!</v>
      </c>
      <c r="GZ5" s="240">
        <f t="shared" ref="GZ5:GZ68" si="181">3*10^(-4) * C5</f>
        <v>3.1530113044880696E-3</v>
      </c>
      <c r="HA5" s="240">
        <f t="shared" ref="HA5:HA68" si="182">AVERAGE(GZ5)</f>
        <v>3.1530113044880696E-3</v>
      </c>
      <c r="HB5" s="240" t="e">
        <f t="shared" ref="HB5:HB68" si="183">STDEV(GZ5)</f>
        <v>#DIV/0!</v>
      </c>
      <c r="HC5" s="240" t="e">
        <f t="shared" si="50"/>
        <v>#DIV/0!</v>
      </c>
      <c r="HE5" s="234">
        <f t="shared" ref="HE5:HE68" si="184">1.19*10^(-3) * C5- 4.302*10^(-4)</f>
        <v>1.2076744841136007E-2</v>
      </c>
      <c r="HF5" s="251">
        <f t="shared" ref="HF5:HF68" si="185">AVERAGE(HE5)</f>
        <v>1.2076744841136007E-2</v>
      </c>
      <c r="HG5" s="234" t="e">
        <f t="shared" ref="HG5:HG68" si="186">STDEV(HE5)</f>
        <v>#DIV/0!</v>
      </c>
      <c r="HH5" s="234" t="e">
        <f t="shared" si="51"/>
        <v>#DIV/0!</v>
      </c>
    </row>
    <row r="6" spans="1:216" ht="17.100000000000001" customHeight="1" x14ac:dyDescent="0.25">
      <c r="B6">
        <v>2</v>
      </c>
      <c r="C6" s="124">
        <f t="shared" si="52"/>
        <v>13.741419989523116</v>
      </c>
      <c r="D6" s="124">
        <f t="shared" si="53"/>
        <v>83.388658509409623</v>
      </c>
      <c r="E6" s="29">
        <f t="shared" si="54"/>
        <v>0.58889391464674257</v>
      </c>
      <c r="F6" s="29">
        <f t="shared" si="0"/>
        <v>0.54054558583197054</v>
      </c>
      <c r="G6" s="29">
        <f t="shared" si="1"/>
        <v>0.58570164848159068</v>
      </c>
      <c r="H6" s="29">
        <f t="shared" si="2"/>
        <v>0.58889391464674257</v>
      </c>
      <c r="I6" s="29">
        <f t="shared" si="3"/>
        <v>0.57350935594175367</v>
      </c>
      <c r="J6" s="125">
        <f t="shared" si="4"/>
        <v>0.57550888390976007</v>
      </c>
      <c r="K6" s="126">
        <f t="shared" si="5"/>
        <v>2.054653784611837E-2</v>
      </c>
      <c r="L6" s="126">
        <f t="shared" si="55"/>
        <v>3.5701512905472494</v>
      </c>
      <c r="N6" s="138">
        <f t="shared" si="56"/>
        <v>120.85686562104959</v>
      </c>
      <c r="O6" s="138">
        <f t="shared" si="57"/>
        <v>120.3004</v>
      </c>
      <c r="P6" s="138">
        <f t="shared" si="58"/>
        <v>126.83827910856326</v>
      </c>
      <c r="Q6" s="138">
        <f t="shared" si="59"/>
        <v>110.99608800420344</v>
      </c>
      <c r="R6" s="138">
        <f t="shared" si="60"/>
        <v>120.85686562104959</v>
      </c>
      <c r="S6" s="138">
        <f t="shared" si="61"/>
        <v>120.28122576119161</v>
      </c>
      <c r="T6" s="138">
        <f t="shared" si="62"/>
        <v>120.0216206860096</v>
      </c>
      <c r="U6" s="138">
        <f t="shared" si="63"/>
        <v>5.0885646924081032</v>
      </c>
      <c r="V6" s="138">
        <f t="shared" si="64"/>
        <v>4.2397066989458301</v>
      </c>
      <c r="X6" s="227">
        <f t="shared" si="65"/>
        <v>0.34298785720000002</v>
      </c>
      <c r="Y6" s="227">
        <f t="shared" si="66"/>
        <v>0.38964108535271536</v>
      </c>
      <c r="Z6" s="227">
        <f t="shared" si="67"/>
        <v>0.34298785720000002</v>
      </c>
      <c r="AA6" s="227">
        <f t="shared" si="68"/>
        <v>0.35853893325090508</v>
      </c>
      <c r="AB6" s="227">
        <f t="shared" si="69"/>
        <v>2.6935253832535224E-2</v>
      </c>
      <c r="AC6" s="227">
        <f t="shared" si="70"/>
        <v>7.5125045942182149</v>
      </c>
      <c r="AE6" s="228">
        <f t="shared" si="71"/>
        <v>0.99310430640425484</v>
      </c>
      <c r="AF6" s="228">
        <f t="shared" si="72"/>
        <v>0.84235639999999989</v>
      </c>
      <c r="AG6" s="228">
        <f t="shared" si="73"/>
        <v>0.99310430640425484</v>
      </c>
      <c r="AH6" s="228">
        <f t="shared" si="74"/>
        <v>1.2325392854390225</v>
      </c>
      <c r="AI6" s="228">
        <f t="shared" si="75"/>
        <v>0.84235639999999989</v>
      </c>
      <c r="AJ6" s="228">
        <f t="shared" si="76"/>
        <v>0.84721820608776488</v>
      </c>
      <c r="AK6" s="228">
        <f t="shared" si="77"/>
        <v>1.0438156447353781</v>
      </c>
      <c r="AL6" s="228">
        <f t="shared" si="78"/>
        <v>0.9706420784386679</v>
      </c>
      <c r="AM6" s="228">
        <f t="shared" si="79"/>
        <v>0.14323727637533909</v>
      </c>
      <c r="AN6" s="228">
        <f t="shared" si="80"/>
        <v>14.75696135137107</v>
      </c>
      <c r="AP6" s="229">
        <f t="shared" si="81"/>
        <v>1.0135726795096323</v>
      </c>
      <c r="AQ6" s="229">
        <f t="shared" si="82"/>
        <v>1.1165489404641777</v>
      </c>
      <c r="AR6" s="229">
        <f t="shared" si="83"/>
        <v>0.78202802379240333</v>
      </c>
      <c r="AS6" s="229">
        <f t="shared" si="84"/>
        <v>0.88923715925646873</v>
      </c>
      <c r="AT6" s="229">
        <f t="shared" si="85"/>
        <v>1.0135726795096323</v>
      </c>
      <c r="AU6" s="229">
        <f t="shared" si="86"/>
        <v>0.16342075234231879</v>
      </c>
      <c r="AV6" s="229">
        <f t="shared" si="87"/>
        <v>1.1165489404641777</v>
      </c>
      <c r="AW6" s="229">
        <f t="shared" si="88"/>
        <v>0.99373879715026048</v>
      </c>
      <c r="AX6" s="229">
        <f t="shared" si="89"/>
        <v>1.3971162112569881</v>
      </c>
      <c r="AY6" s="229">
        <f t="shared" si="90"/>
        <v>0.94286490930511768</v>
      </c>
      <c r="AZ6" s="229">
        <f t="shared" si="91"/>
        <v>0.33829378759879702</v>
      </c>
      <c r="BA6" s="229">
        <f t="shared" si="92"/>
        <v>35.879348595984581</v>
      </c>
      <c r="BC6" s="230">
        <f t="shared" si="93"/>
        <v>2.0191832000000001</v>
      </c>
      <c r="BD6" s="230">
        <f t="shared" si="94"/>
        <v>3.1055085237924032</v>
      </c>
      <c r="BE6" s="230">
        <f t="shared" si="95"/>
        <v>2.0191832000000001</v>
      </c>
      <c r="BF6" s="230">
        <f t="shared" si="96"/>
        <v>2.7687603832789982</v>
      </c>
      <c r="BG6" s="230">
        <f t="shared" si="97"/>
        <v>2.4781588267678503</v>
      </c>
      <c r="BH6" s="230">
        <f t="shared" si="98"/>
        <v>0.54751991103441133</v>
      </c>
      <c r="BI6" s="230">
        <f t="shared" si="99"/>
        <v>22.09381840745521</v>
      </c>
      <c r="BK6" s="227">
        <f t="shared" si="6"/>
        <v>0.99502692307692309</v>
      </c>
      <c r="BL6" s="227">
        <f t="shared" si="7"/>
        <v>2.4376895613986078</v>
      </c>
      <c r="BM6" s="227">
        <f t="shared" si="8"/>
        <v>2.8682695879339533</v>
      </c>
      <c r="BN6" s="227">
        <f t="shared" si="9"/>
        <v>3.7854651120341472</v>
      </c>
      <c r="BO6" s="227">
        <f t="shared" si="10"/>
        <v>0.99502692307692309</v>
      </c>
      <c r="BP6" s="227">
        <f t="shared" si="11"/>
        <v>3.4248575930936784</v>
      </c>
      <c r="BQ6" s="227">
        <f t="shared" si="12"/>
        <v>3.9204533158012245</v>
      </c>
      <c r="BR6" s="227">
        <f t="shared" si="100"/>
        <v>2.6323984309164943</v>
      </c>
      <c r="BS6" s="227">
        <f t="shared" si="101"/>
        <v>1.2296447547461962</v>
      </c>
      <c r="BT6" s="227">
        <f t="shared" si="13"/>
        <v>46.711954402665548</v>
      </c>
      <c r="BV6" s="231">
        <f t="shared" si="102"/>
        <v>8.0624531809523808E-2</v>
      </c>
      <c r="BW6" s="231">
        <f t="shared" si="103"/>
        <v>0.10379631138332043</v>
      </c>
      <c r="BX6" s="231">
        <f t="shared" si="104"/>
        <v>8.7994258420071345E-2</v>
      </c>
      <c r="BY6" s="231">
        <f t="shared" si="105"/>
        <v>8.0624531809523808E-2</v>
      </c>
      <c r="BZ6" s="231">
        <f t="shared" si="106"/>
        <v>8.8546460690276912E-2</v>
      </c>
      <c r="CA6" s="231">
        <f t="shared" si="107"/>
        <v>7.3731951849007937E-2</v>
      </c>
      <c r="CB6" s="231">
        <f t="shared" si="108"/>
        <v>5.2376096326395873E-2</v>
      </c>
      <c r="CC6" s="231">
        <f t="shared" si="109"/>
        <v>3.7842109386855081E-2</v>
      </c>
      <c r="CD6" s="231">
        <f t="shared" si="110"/>
        <v>7.5692031459371895E-2</v>
      </c>
      <c r="CE6" s="231">
        <f t="shared" si="111"/>
        <v>2.1163250332987139E-2</v>
      </c>
      <c r="CF6" s="231">
        <f t="shared" si="14"/>
        <v>27.959680728540924</v>
      </c>
      <c r="CH6" s="232">
        <f t="shared" si="112"/>
        <v>0.38696859517606685</v>
      </c>
      <c r="CI6" s="232">
        <f t="shared" si="113"/>
        <v>0.45350095238095234</v>
      </c>
      <c r="CJ6" s="232">
        <f t="shared" si="114"/>
        <v>0.6074094453005624</v>
      </c>
      <c r="CK6" s="232">
        <f t="shared" si="115"/>
        <v>0.48335729480615847</v>
      </c>
      <c r="CL6" s="232">
        <f t="shared" si="116"/>
        <v>0.34026560564479108</v>
      </c>
      <c r="CM6" s="232">
        <f t="shared" si="117"/>
        <v>0.38696859517606685</v>
      </c>
      <c r="CN6" s="232">
        <f t="shared" si="118"/>
        <v>0.38696859517606685</v>
      </c>
      <c r="CO6" s="232">
        <f t="shared" si="119"/>
        <v>0.43520344681836698</v>
      </c>
      <c r="CP6" s="232">
        <f t="shared" si="120"/>
        <v>0.45350095238095234</v>
      </c>
      <c r="CQ6" s="232">
        <f t="shared" si="121"/>
        <v>0.42254077033099036</v>
      </c>
      <c r="CR6" s="232">
        <f t="shared" si="122"/>
        <v>0.43566842531909744</v>
      </c>
      <c r="CS6" s="232">
        <f t="shared" si="123"/>
        <v>7.3631570946339472E-2</v>
      </c>
      <c r="CT6" s="232">
        <f t="shared" si="15"/>
        <v>16.900827938680514</v>
      </c>
      <c r="CV6" s="229">
        <f t="shared" si="16"/>
        <v>0.2261472380952381</v>
      </c>
      <c r="CW6" s="229">
        <f t="shared" si="17"/>
        <v>0.11335655972596267</v>
      </c>
      <c r="CX6" s="229">
        <f t="shared" si="18"/>
        <v>8.112997132985024E-2</v>
      </c>
      <c r="CY6" s="229">
        <f t="shared" si="19"/>
        <v>4.6717572968967801E-2</v>
      </c>
      <c r="CZ6" s="229">
        <f t="shared" si="20"/>
        <v>0.2469988004436848</v>
      </c>
      <c r="DA6" s="229">
        <f t="shared" si="21"/>
        <v>0.2261472380952381</v>
      </c>
      <c r="DB6" s="229">
        <f t="shared" si="22"/>
        <v>9.3441655928757181E-2</v>
      </c>
      <c r="DC6" s="229">
        <f t="shared" si="23"/>
        <v>0.20583331377468558</v>
      </c>
      <c r="DD6" s="229">
        <f t="shared" si="24"/>
        <v>0.15497154379529804</v>
      </c>
      <c r="DE6" s="229">
        <f t="shared" si="25"/>
        <v>7.9171719836982318E-2</v>
      </c>
      <c r="DF6" s="229">
        <f t="shared" si="26"/>
        <v>51.087908075278818</v>
      </c>
      <c r="DH6" s="234">
        <f t="shared" si="124"/>
        <v>2.96E-3</v>
      </c>
      <c r="DI6" s="234">
        <f t="shared" si="125"/>
        <v>4.0000000000000001E-3</v>
      </c>
      <c r="DJ6" s="234">
        <f t="shared" si="126"/>
        <v>2.1725250540873563E-2</v>
      </c>
      <c r="DK6" s="234">
        <f t="shared" si="27"/>
        <v>9.5617501802911873E-3</v>
      </c>
      <c r="DL6" s="234">
        <f t="shared" si="28"/>
        <v>1.0546727253817445E-2</v>
      </c>
      <c r="DM6" s="234">
        <f t="shared" si="29"/>
        <v>110.30122158552633</v>
      </c>
      <c r="DO6" s="229">
        <f t="shared" si="127"/>
        <v>0.85272239999999988</v>
      </c>
      <c r="DP6" s="229">
        <f t="shared" si="128"/>
        <v>0.39633738524069295</v>
      </c>
      <c r="DQ6" s="229">
        <f t="shared" si="129"/>
        <v>0.42610868587270806</v>
      </c>
      <c r="DR6" s="229">
        <f t="shared" si="130"/>
        <v>0.86326332586464005</v>
      </c>
      <c r="DS6" s="229">
        <f t="shared" si="131"/>
        <v>1.0186725733439919</v>
      </c>
      <c r="DT6" s="229">
        <f t="shared" si="132"/>
        <v>0.85272239999999988</v>
      </c>
      <c r="DU6" s="229">
        <f t="shared" si="133"/>
        <v>-1.1397359999999999E-2</v>
      </c>
      <c r="DV6" s="229">
        <f t="shared" si="134"/>
        <v>0.33423321059393662</v>
      </c>
      <c r="DW6" s="229">
        <f t="shared" si="30"/>
        <v>0.5915828276144961</v>
      </c>
      <c r="DX6" s="229">
        <f t="shared" si="31"/>
        <v>0.35615408041168778</v>
      </c>
      <c r="DY6" s="229">
        <f t="shared" si="32"/>
        <v>60.203586680811327</v>
      </c>
      <c r="EA6" s="235">
        <f t="shared" si="135"/>
        <v>3.9759392789373814E-2</v>
      </c>
      <c r="EB6" s="235">
        <f t="shared" si="136"/>
        <v>4.1821466075372578E-2</v>
      </c>
      <c r="EC6" s="235">
        <f t="shared" si="137"/>
        <v>3.9759392789373814E-2</v>
      </c>
      <c r="ED6" s="235">
        <f t="shared" si="138"/>
        <v>2.8856981977998544E-2</v>
      </c>
      <c r="EE6" s="235">
        <f t="shared" si="139"/>
        <v>3.6126015026086158E-2</v>
      </c>
      <c r="EF6" s="235">
        <f t="shared" si="140"/>
        <v>3.7264649731640988E-2</v>
      </c>
      <c r="EG6" s="235">
        <f t="shared" si="141"/>
        <v>5.1282898486494626E-3</v>
      </c>
      <c r="EH6" s="235">
        <f t="shared" si="33"/>
        <v>13.761808806953821</v>
      </c>
      <c r="EJ6" s="229">
        <f t="shared" si="142"/>
        <v>2.9310672489082972</v>
      </c>
      <c r="EK6" s="229">
        <f t="shared" si="143"/>
        <v>5.4524963802846278</v>
      </c>
      <c r="EL6" s="229">
        <f t="shared" si="144"/>
        <v>2.6848176000000001</v>
      </c>
      <c r="EM6" s="229">
        <f t="shared" si="145"/>
        <v>3.4719698218240809</v>
      </c>
      <c r="EN6" s="229">
        <f t="shared" si="146"/>
        <v>3.2977286624468269</v>
      </c>
      <c r="EO6" s="229">
        <f t="shared" si="34"/>
        <v>7.3051990912974043</v>
      </c>
      <c r="EP6" s="229">
        <f t="shared" si="147"/>
        <v>2.9877302179037977</v>
      </c>
      <c r="EQ6" s="229">
        <f t="shared" si="148"/>
        <v>4.0187155746664329</v>
      </c>
      <c r="ER6" s="229">
        <f t="shared" si="149"/>
        <v>1.7175878358273284</v>
      </c>
      <c r="ES6" s="229">
        <f t="shared" si="35"/>
        <v>42.739721284452784</v>
      </c>
      <c r="EU6" s="238">
        <f t="shared" si="150"/>
        <v>3.1134235293224883E-3</v>
      </c>
      <c r="EV6" s="238">
        <f t="shared" si="151"/>
        <v>3.1134235293224883E-3</v>
      </c>
      <c r="EW6" s="238" t="e">
        <f t="shared" si="152"/>
        <v>#DIV/0!</v>
      </c>
      <c r="EX6" s="238" t="e">
        <f t="shared" si="36"/>
        <v>#DIV/0!</v>
      </c>
      <c r="EZ6" s="240">
        <f t="shared" si="153"/>
        <v>1.5001509039761935E-10</v>
      </c>
      <c r="FA6" s="240">
        <f t="shared" si="154"/>
        <v>1.5001509039761935E-10</v>
      </c>
      <c r="FB6" s="240" t="e">
        <f t="shared" si="155"/>
        <v>#DIV/0!</v>
      </c>
      <c r="FC6" s="240" t="e">
        <f t="shared" si="37"/>
        <v>#DIV/0!</v>
      </c>
      <c r="FE6" s="236">
        <f t="shared" si="156"/>
        <v>0.1830883923076923</v>
      </c>
      <c r="FF6" s="236">
        <f t="shared" si="157"/>
        <v>0.13352818391267884</v>
      </c>
      <c r="FG6" s="236">
        <f t="shared" si="158"/>
        <v>0.20037002357183689</v>
      </c>
      <c r="FH6" s="236">
        <f t="shared" si="159"/>
        <v>0.22673342982713143</v>
      </c>
      <c r="FI6" s="236">
        <f t="shared" si="160"/>
        <v>0.56377247081724424</v>
      </c>
      <c r="FJ6" s="236">
        <f t="shared" si="161"/>
        <v>0.21030352849949807</v>
      </c>
      <c r="FK6" s="236">
        <f t="shared" si="38"/>
        <v>0.25296600482268028</v>
      </c>
      <c r="FL6" s="236">
        <f t="shared" si="39"/>
        <v>0.15557860085449846</v>
      </c>
      <c r="FM6" s="236">
        <f t="shared" si="40"/>
        <v>61.501782013576587</v>
      </c>
      <c r="FO6" s="227">
        <f t="shared" si="162"/>
        <v>6.3848932038834946E-2</v>
      </c>
      <c r="FP6" s="227">
        <f t="shared" si="163"/>
        <v>5.5980144202700727E-2</v>
      </c>
      <c r="FQ6" s="227">
        <f t="shared" si="164"/>
        <v>6.7269294830549678E-2</v>
      </c>
      <c r="FR6" s="227">
        <f t="shared" si="165"/>
        <v>6.3848932038834946E-2</v>
      </c>
      <c r="FS6" s="227">
        <f t="shared" si="166"/>
        <v>6.1836389952854016E-2</v>
      </c>
      <c r="FT6" s="227">
        <f t="shared" si="41"/>
        <v>6.2556738612754861E-2</v>
      </c>
      <c r="FU6" s="227">
        <f t="shared" si="42"/>
        <v>4.1628779117595443E-3</v>
      </c>
      <c r="FV6" s="227">
        <f t="shared" si="43"/>
        <v>6.6545635275665784</v>
      </c>
      <c r="FX6" s="230">
        <f t="shared" si="167"/>
        <v>0.23136363840000002</v>
      </c>
      <c r="FY6" s="230">
        <f t="shared" si="168"/>
        <v>0.28856981977998547</v>
      </c>
      <c r="FZ6" s="230">
        <f t="shared" si="169"/>
        <v>0.23136363840000002</v>
      </c>
      <c r="GA6" s="230">
        <f t="shared" si="170"/>
        <v>0.28946015573042977</v>
      </c>
      <c r="GB6" s="230">
        <f t="shared" si="44"/>
        <v>0.26018931307760379</v>
      </c>
      <c r="GC6" s="230">
        <f t="shared" si="45"/>
        <v>3.3287006631860627E-2</v>
      </c>
      <c r="GD6" s="230">
        <f t="shared" si="46"/>
        <v>12.793379650428793</v>
      </c>
      <c r="GF6" s="231">
        <f t="shared" si="171"/>
        <v>3.6152380952380954E-3</v>
      </c>
      <c r="GG6" s="231">
        <f t="shared" si="172"/>
        <v>5.8750577424085309E-3</v>
      </c>
      <c r="GH6" s="231">
        <f t="shared" si="173"/>
        <v>3.310933757296685E-2</v>
      </c>
      <c r="GI6" s="231">
        <f t="shared" si="174"/>
        <v>4.0158096170990216E-3</v>
      </c>
      <c r="GJ6" s="245">
        <f t="shared" ref="GJ6:GJ69" si="187">AVERAGE(GF6:GI6)</f>
        <v>1.1653860756928125E-2</v>
      </c>
      <c r="GK6" s="231">
        <f t="shared" ref="GK6:GK69" si="188">STDEV(GF6:GI6)</f>
        <v>1.4337495471616573E-2</v>
      </c>
      <c r="GL6" s="231">
        <f t="shared" si="47"/>
        <v>123.02785978537669</v>
      </c>
      <c r="GN6" s="246">
        <f t="shared" si="175"/>
        <v>3.0053461538461539E-2</v>
      </c>
      <c r="GO6" s="246">
        <f t="shared" si="176"/>
        <v>3.0053461538461539E-2</v>
      </c>
      <c r="GP6" s="246">
        <f t="shared" si="177"/>
        <v>2.8856981977998544E-2</v>
      </c>
      <c r="GQ6" s="247">
        <f t="shared" ref="GQ6:GQ69" si="189">AVERAGE(GM6:GP6)</f>
        <v>2.9654635018307205E-2</v>
      </c>
      <c r="GR6" s="246">
        <f t="shared" ref="GR6:GR69" si="190">STDEV(GM6:GP6)</f>
        <v>6.9078779631319572E-4</v>
      </c>
      <c r="GS6" s="246">
        <f t="shared" si="48"/>
        <v>2.3294429214412515</v>
      </c>
      <c r="GU6" s="249">
        <f t="shared" si="178"/>
        <v>3.7651490771293339E-3</v>
      </c>
      <c r="GV6" s="249">
        <f t="shared" si="179"/>
        <v>3.7651490771293339E-3</v>
      </c>
      <c r="GW6" s="249" t="e">
        <f t="shared" si="180"/>
        <v>#DIV/0!</v>
      </c>
      <c r="GX6" s="249" t="e">
        <f t="shared" si="49"/>
        <v>#DIV/0!</v>
      </c>
      <c r="GZ6" s="240">
        <f t="shared" si="181"/>
        <v>4.1224259968569354E-3</v>
      </c>
      <c r="HA6" s="240">
        <f t="shared" si="182"/>
        <v>4.1224259968569354E-3</v>
      </c>
      <c r="HB6" s="240" t="e">
        <f t="shared" si="183"/>
        <v>#DIV/0!</v>
      </c>
      <c r="HC6" s="240" t="e">
        <f t="shared" si="50"/>
        <v>#DIV/0!</v>
      </c>
      <c r="HE6" s="234">
        <f t="shared" si="184"/>
        <v>1.5922089787532508E-2</v>
      </c>
      <c r="HF6" s="251">
        <f t="shared" si="185"/>
        <v>1.5922089787532508E-2</v>
      </c>
      <c r="HG6" s="234" t="e">
        <f t="shared" si="186"/>
        <v>#DIV/0!</v>
      </c>
      <c r="HH6" s="234" t="e">
        <f t="shared" si="51"/>
        <v>#DIV/0!</v>
      </c>
    </row>
    <row r="7" spans="1:216" ht="17.100000000000001" customHeight="1" x14ac:dyDescent="0.25">
      <c r="B7">
        <v>3</v>
      </c>
      <c r="C7" s="124">
        <f t="shared" si="52"/>
        <v>15.401413314038429</v>
      </c>
      <c r="D7" s="124">
        <f t="shared" si="53"/>
        <v>92.442783044249524</v>
      </c>
      <c r="E7" s="29">
        <f t="shared" si="54"/>
        <v>0.65252004458161417</v>
      </c>
      <c r="F7" s="29">
        <f t="shared" si="0"/>
        <v>0.61141698881162809</v>
      </c>
      <c r="G7" s="29">
        <f t="shared" si="1"/>
        <v>0.64874664401685944</v>
      </c>
      <c r="H7" s="29">
        <f t="shared" si="2"/>
        <v>0.65252004458161417</v>
      </c>
      <c r="I7" s="29">
        <f t="shared" si="3"/>
        <v>0.63521747208819823</v>
      </c>
      <c r="J7" s="125">
        <f t="shared" si="4"/>
        <v>0.64008423881598275</v>
      </c>
      <c r="K7" s="126">
        <f t="shared" si="5"/>
        <v>1.7534483419394203E-2</v>
      </c>
      <c r="L7" s="126">
        <f t="shared" si="55"/>
        <v>2.7394024654987916</v>
      </c>
      <c r="N7" s="138">
        <f t="shared" si="56"/>
        <v>134.41769015135637</v>
      </c>
      <c r="O7" s="138">
        <f t="shared" si="57"/>
        <v>154.78039999999999</v>
      </c>
      <c r="P7" s="138">
        <f t="shared" si="58"/>
        <v>139.10220567086122</v>
      </c>
      <c r="Q7" s="138">
        <f t="shared" si="59"/>
        <v>121.05821333828496</v>
      </c>
      <c r="R7" s="138">
        <f t="shared" si="60"/>
        <v>134.41769015135637</v>
      </c>
      <c r="S7" s="138">
        <f t="shared" si="61"/>
        <v>154.76109435583854</v>
      </c>
      <c r="T7" s="138">
        <f t="shared" si="62"/>
        <v>139.7562156112829</v>
      </c>
      <c r="U7" s="138">
        <f t="shared" si="63"/>
        <v>13.098971172277325</v>
      </c>
      <c r="V7" s="138">
        <f t="shared" si="64"/>
        <v>9.372728872904462</v>
      </c>
      <c r="X7" s="227">
        <f t="shared" si="65"/>
        <v>0.35030012205</v>
      </c>
      <c r="Y7" s="227">
        <f t="shared" si="66"/>
        <v>0.39446232250426028</v>
      </c>
      <c r="Z7" s="227">
        <f t="shared" si="67"/>
        <v>0.35030012205</v>
      </c>
      <c r="AA7" s="227">
        <f t="shared" si="68"/>
        <v>0.36502085553475339</v>
      </c>
      <c r="AB7" s="227">
        <f t="shared" si="69"/>
        <v>2.5497058320273387E-2</v>
      </c>
      <c r="AC7" s="227">
        <f t="shared" si="70"/>
        <v>6.9850963126258492</v>
      </c>
      <c r="AE7" s="228">
        <f t="shared" si="71"/>
        <v>1.129264575161935</v>
      </c>
      <c r="AF7" s="228">
        <f t="shared" si="72"/>
        <v>1.1731486</v>
      </c>
      <c r="AG7" s="228">
        <f t="shared" si="73"/>
        <v>1.129264575161935</v>
      </c>
      <c r="AH7" s="228">
        <f t="shared" si="74"/>
        <v>1.381423755422261</v>
      </c>
      <c r="AI7" s="228">
        <f t="shared" si="75"/>
        <v>1.1731486</v>
      </c>
      <c r="AJ7" s="228">
        <f t="shared" si="76"/>
        <v>1.0489652613061311</v>
      </c>
      <c r="AK7" s="228">
        <f t="shared" si="77"/>
        <v>1.246679731374738</v>
      </c>
      <c r="AL7" s="228">
        <f t="shared" si="78"/>
        <v>1.1831278712038571</v>
      </c>
      <c r="AM7" s="228">
        <f t="shared" si="79"/>
        <v>0.10595705384118841</v>
      </c>
      <c r="AN7" s="228">
        <f t="shared" si="80"/>
        <v>8.9556721990983874</v>
      </c>
      <c r="AP7" s="229">
        <f t="shared" si="81"/>
        <v>1.1139112903225807</v>
      </c>
      <c r="AQ7" s="229">
        <f t="shared" si="82"/>
        <v>1.2026951151038743</v>
      </c>
      <c r="AR7" s="229">
        <f t="shared" si="83"/>
        <v>0.94987551714490459</v>
      </c>
      <c r="AS7" s="229">
        <f t="shared" si="84"/>
        <v>0.96031321934953462</v>
      </c>
      <c r="AT7" s="229">
        <f t="shared" si="85"/>
        <v>1.1139112903225807</v>
      </c>
      <c r="AU7" s="229">
        <f t="shared" si="86"/>
        <v>0.23348889757212271</v>
      </c>
      <c r="AV7" s="229">
        <f t="shared" si="87"/>
        <v>1.2026951151038743</v>
      </c>
      <c r="AW7" s="229">
        <f t="shared" si="88"/>
        <v>1.1561511678375647</v>
      </c>
      <c r="AX7" s="229">
        <f t="shared" si="89"/>
        <v>1.4734034250975598</v>
      </c>
      <c r="AY7" s="229">
        <f t="shared" si="90"/>
        <v>1.045160559761622</v>
      </c>
      <c r="AZ7" s="229">
        <f t="shared" si="91"/>
        <v>0.34093394937183813</v>
      </c>
      <c r="BA7" s="229">
        <f t="shared" si="92"/>
        <v>32.620246352349689</v>
      </c>
      <c r="BC7" s="230">
        <f t="shared" si="93"/>
        <v>2.3310267000000002</v>
      </c>
      <c r="BD7" s="230">
        <f t="shared" si="94"/>
        <v>4.2376160171449042</v>
      </c>
      <c r="BE7" s="230">
        <f t="shared" si="95"/>
        <v>2.3310267000000002</v>
      </c>
      <c r="BF7" s="230">
        <f t="shared" si="96"/>
        <v>2.7688509192012476</v>
      </c>
      <c r="BG7" s="230">
        <f t="shared" si="97"/>
        <v>2.917130084086538</v>
      </c>
      <c r="BH7" s="230">
        <f t="shared" si="98"/>
        <v>0.90419469950143849</v>
      </c>
      <c r="BI7" s="230">
        <f t="shared" si="99"/>
        <v>30.996036290393114</v>
      </c>
      <c r="BK7" s="227">
        <f t="shared" si="6"/>
        <v>1.1590653846153844</v>
      </c>
      <c r="BL7" s="227">
        <f t="shared" si="7"/>
        <v>3.7802225611382512</v>
      </c>
      <c r="BM7" s="227">
        <f t="shared" si="8"/>
        <v>3.5399420273319331</v>
      </c>
      <c r="BN7" s="227">
        <f t="shared" si="9"/>
        <v>4.4302280960384568</v>
      </c>
      <c r="BO7" s="227">
        <f t="shared" si="10"/>
        <v>1.1590653846153844</v>
      </c>
      <c r="BP7" s="227">
        <f t="shared" si="11"/>
        <v>4.1384839594098892</v>
      </c>
      <c r="BQ7" s="227">
        <f t="shared" si="12"/>
        <v>5.5174289356646113</v>
      </c>
      <c r="BR7" s="227">
        <f t="shared" si="100"/>
        <v>3.3892051926877014</v>
      </c>
      <c r="BS7" s="227">
        <f t="shared" si="101"/>
        <v>1.6480871214116899</v>
      </c>
      <c r="BT7" s="227">
        <f t="shared" si="13"/>
        <v>48.62754031439232</v>
      </c>
      <c r="BV7" s="231">
        <f t="shared" si="102"/>
        <v>9.1813151523809547E-2</v>
      </c>
      <c r="BW7" s="231">
        <f t="shared" si="103"/>
        <v>0.10911174801244855</v>
      </c>
      <c r="BX7" s="231">
        <f t="shared" si="104"/>
        <v>9.7161883153553494E-2</v>
      </c>
      <c r="BY7" s="231">
        <f t="shared" si="105"/>
        <v>9.1813151523809547E-2</v>
      </c>
      <c r="BZ7" s="231">
        <f t="shared" si="106"/>
        <v>9.2474202684364751E-2</v>
      </c>
      <c r="CA7" s="231">
        <f t="shared" si="107"/>
        <v>8.446566895502583E-2</v>
      </c>
      <c r="CB7" s="231">
        <f t="shared" si="108"/>
        <v>7.8452220270696746E-2</v>
      </c>
      <c r="CC7" s="231">
        <f t="shared" si="109"/>
        <v>6.8313981406943877E-2</v>
      </c>
      <c r="CD7" s="231">
        <f t="shared" si="110"/>
        <v>8.920075094133155E-2</v>
      </c>
      <c r="CE7" s="231">
        <f t="shared" si="111"/>
        <v>1.2296348151059023E-2</v>
      </c>
      <c r="CF7" s="231">
        <f t="shared" si="14"/>
        <v>13.785027616131265</v>
      </c>
      <c r="CH7" s="232">
        <f t="shared" si="112"/>
        <v>0.42296877888040973</v>
      </c>
      <c r="CI7" s="232">
        <f t="shared" si="113"/>
        <v>0.51043476190476178</v>
      </c>
      <c r="CJ7" s="232">
        <f t="shared" si="114"/>
        <v>0.74224052689433873</v>
      </c>
      <c r="CK7" s="232">
        <f t="shared" si="115"/>
        <v>0.51014687473557752</v>
      </c>
      <c r="CL7" s="232">
        <f t="shared" si="116"/>
        <v>0.37971473501747416</v>
      </c>
      <c r="CM7" s="232">
        <f t="shared" si="117"/>
        <v>0.42296877888040973</v>
      </c>
      <c r="CN7" s="232">
        <f t="shared" si="118"/>
        <v>0.42296877888040973</v>
      </c>
      <c r="CO7" s="232">
        <f t="shared" si="119"/>
        <v>0.47709039972477785</v>
      </c>
      <c r="CP7" s="232">
        <f t="shared" si="120"/>
        <v>0.51043476190476178</v>
      </c>
      <c r="CQ7" s="232">
        <f t="shared" si="121"/>
        <v>0.48635713702592148</v>
      </c>
      <c r="CR7" s="232">
        <f t="shared" si="122"/>
        <v>0.48853255338488422</v>
      </c>
      <c r="CS7" s="232">
        <f t="shared" si="123"/>
        <v>0.10036994164844022</v>
      </c>
      <c r="CT7" s="232">
        <f t="shared" si="15"/>
        <v>20.545190070346251</v>
      </c>
      <c r="CV7" s="229">
        <f t="shared" si="16"/>
        <v>0.27264447619047621</v>
      </c>
      <c r="CW7" s="229">
        <f t="shared" si="17"/>
        <v>0.16922190906863485</v>
      </c>
      <c r="CX7" s="229">
        <f t="shared" si="18"/>
        <v>9.406873350298027E-2</v>
      </c>
      <c r="CY7" s="229">
        <f t="shared" si="19"/>
        <v>8.4810464463027244E-2</v>
      </c>
      <c r="CZ7" s="229">
        <f t="shared" si="20"/>
        <v>0.27567352693193709</v>
      </c>
      <c r="DA7" s="229">
        <f t="shared" si="21"/>
        <v>0.27264447619047621</v>
      </c>
      <c r="DB7" s="229">
        <f t="shared" si="22"/>
        <v>0.10472961053546131</v>
      </c>
      <c r="DC7" s="229">
        <f t="shared" si="23"/>
        <v>0.23882844023297081</v>
      </c>
      <c r="DD7" s="229">
        <f t="shared" si="24"/>
        <v>0.1890777046394955</v>
      </c>
      <c r="DE7" s="229">
        <f t="shared" si="25"/>
        <v>8.5647115131696802E-2</v>
      </c>
      <c r="DF7" s="229">
        <f t="shared" si="26"/>
        <v>45.297310592486646</v>
      </c>
      <c r="DH7" s="234">
        <f t="shared" si="124"/>
        <v>4.4399999999999995E-3</v>
      </c>
      <c r="DI7" s="234">
        <f t="shared" si="125"/>
        <v>6.0000000000000001E-3</v>
      </c>
      <c r="DJ7" s="234">
        <f t="shared" si="126"/>
        <v>2.5628624419467973E-2</v>
      </c>
      <c r="DK7" s="234">
        <f t="shared" si="27"/>
        <v>1.2022874806489324E-2</v>
      </c>
      <c r="DL7" s="234">
        <f t="shared" si="28"/>
        <v>1.1808713600485934E-2</v>
      </c>
      <c r="DM7" s="234">
        <f t="shared" si="29"/>
        <v>98.218718821826229</v>
      </c>
      <c r="DO7" s="229">
        <f t="shared" si="127"/>
        <v>1.0494771999999999</v>
      </c>
      <c r="DP7" s="229">
        <f t="shared" si="128"/>
        <v>0.59027947168404438</v>
      </c>
      <c r="DQ7" s="229">
        <f t="shared" si="129"/>
        <v>0.47417599518968612</v>
      </c>
      <c r="DR7" s="229">
        <f t="shared" si="130"/>
        <v>0.96012635822397407</v>
      </c>
      <c r="DS7" s="229">
        <f t="shared" si="131"/>
        <v>1.0997606498524455</v>
      </c>
      <c r="DT7" s="229">
        <f t="shared" si="132"/>
        <v>1.0494771999999999</v>
      </c>
      <c r="DU7" s="229">
        <f t="shared" si="133"/>
        <v>-2.8233809999999998E-2</v>
      </c>
      <c r="DV7" s="229">
        <f t="shared" si="134"/>
        <v>0.37157196745736287</v>
      </c>
      <c r="DW7" s="229">
        <f t="shared" si="30"/>
        <v>0.69582937905093911</v>
      </c>
      <c r="DX7" s="229">
        <f t="shared" si="31"/>
        <v>0.40932493266171727</v>
      </c>
      <c r="DY7" s="229">
        <f t="shared" si="32"/>
        <v>58.825474316707762</v>
      </c>
      <c r="EA7" s="235">
        <f t="shared" si="135"/>
        <v>4.7225047438330156E-2</v>
      </c>
      <c r="EB7" s="235">
        <f t="shared" si="136"/>
        <v>4.6731185866170893E-2</v>
      </c>
      <c r="EC7" s="235">
        <f t="shared" si="137"/>
        <v>4.7225047438330156E-2</v>
      </c>
      <c r="ED7" s="235">
        <f t="shared" si="138"/>
        <v>3.2342967959480697E-2</v>
      </c>
      <c r="EE7" s="235">
        <f t="shared" si="139"/>
        <v>4.0576564891931344E-2</v>
      </c>
      <c r="EF7" s="235">
        <f t="shared" si="140"/>
        <v>4.2820162718848649E-2</v>
      </c>
      <c r="EG7" s="235">
        <f t="shared" si="141"/>
        <v>6.4982201808920165E-3</v>
      </c>
      <c r="EH7" s="235">
        <f t="shared" si="33"/>
        <v>15.175608330959516</v>
      </c>
      <c r="EJ7" s="229">
        <f t="shared" si="142"/>
        <v>3.0752621179039301</v>
      </c>
      <c r="EK7" s="229">
        <f t="shared" si="143"/>
        <v>5.3706923929507147</v>
      </c>
      <c r="EL7" s="229">
        <f t="shared" si="144"/>
        <v>2.8168500999999995</v>
      </c>
      <c r="EM7" s="229">
        <f t="shared" si="145"/>
        <v>4.4050130450665792</v>
      </c>
      <c r="EN7" s="229">
        <f t="shared" si="146"/>
        <v>3.8062038544716081</v>
      </c>
      <c r="EO7" s="229">
        <f t="shared" si="34"/>
        <v>6.6972723621170056</v>
      </c>
      <c r="EP7" s="229">
        <f t="shared" si="147"/>
        <v>3.3977534119823249</v>
      </c>
      <c r="EQ7" s="229">
        <f t="shared" si="148"/>
        <v>4.2241496120703088</v>
      </c>
      <c r="ER7" s="229">
        <f t="shared" si="149"/>
        <v>1.3917406243814845</v>
      </c>
      <c r="ES7" s="229">
        <f t="shared" si="35"/>
        <v>32.947237957780921</v>
      </c>
      <c r="EU7" s="238">
        <f t="shared" si="150"/>
        <v>3.1345718029010222E-3</v>
      </c>
      <c r="EV7" s="238">
        <f t="shared" si="151"/>
        <v>3.1345718029010222E-3</v>
      </c>
      <c r="EW7" s="238" t="e">
        <f t="shared" si="152"/>
        <v>#DIV/0!</v>
      </c>
      <c r="EX7" s="238" t="e">
        <f t="shared" si="36"/>
        <v>#DIV/0!</v>
      </c>
      <c r="EZ7" s="240">
        <f t="shared" si="153"/>
        <v>6.956039366431793E-10</v>
      </c>
      <c r="FA7" s="240">
        <f t="shared" si="154"/>
        <v>6.956039366431793E-10</v>
      </c>
      <c r="FB7" s="240" t="e">
        <f t="shared" si="155"/>
        <v>#DIV/0!</v>
      </c>
      <c r="FC7" s="240" t="e">
        <f t="shared" si="37"/>
        <v>#DIV/0!</v>
      </c>
      <c r="FE7" s="236">
        <f t="shared" si="156"/>
        <v>0.21063348365384613</v>
      </c>
      <c r="FF7" s="236">
        <f t="shared" si="157"/>
        <v>0.19944387763854984</v>
      </c>
      <c r="FG7" s="236">
        <f t="shared" si="158"/>
        <v>0.23070143151174824</v>
      </c>
      <c r="FH7" s="236">
        <f t="shared" si="159"/>
        <v>0.2541233196816341</v>
      </c>
      <c r="FI7" s="236">
        <f t="shared" si="160"/>
        <v>0.70525844946944993</v>
      </c>
      <c r="FJ7" s="236">
        <f t="shared" si="161"/>
        <v>0.25017812444993659</v>
      </c>
      <c r="FK7" s="236">
        <f t="shared" si="38"/>
        <v>0.30838978106752751</v>
      </c>
      <c r="FL7" s="236">
        <f t="shared" si="39"/>
        <v>0.19560121112677961</v>
      </c>
      <c r="FM7" s="236">
        <f t="shared" si="40"/>
        <v>63.426618887851284</v>
      </c>
      <c r="FO7" s="227">
        <f t="shared" si="162"/>
        <v>7.5883300970873799E-2</v>
      </c>
      <c r="FP7" s="227">
        <f t="shared" si="163"/>
        <v>7.4725867999169054E-2</v>
      </c>
      <c r="FQ7" s="227">
        <f t="shared" si="164"/>
        <v>7.8906064102714141E-2</v>
      </c>
      <c r="FR7" s="227">
        <f t="shared" si="165"/>
        <v>7.5883300970873799E-2</v>
      </c>
      <c r="FS7" s="227">
        <f t="shared" si="166"/>
        <v>6.9306359913172924E-2</v>
      </c>
      <c r="FT7" s="227">
        <f t="shared" si="41"/>
        <v>7.4940978791360732E-2</v>
      </c>
      <c r="FU7" s="227">
        <f t="shared" si="42"/>
        <v>3.5104503365545152E-3</v>
      </c>
      <c r="FV7" s="227">
        <f t="shared" si="43"/>
        <v>4.6842867456105379</v>
      </c>
      <c r="FX7" s="230">
        <f t="shared" si="167"/>
        <v>0.32785512240000003</v>
      </c>
      <c r="FY7" s="230">
        <f t="shared" si="168"/>
        <v>0.32342967959480701</v>
      </c>
      <c r="FZ7" s="230">
        <f t="shared" si="169"/>
        <v>0.32785512240000003</v>
      </c>
      <c r="GA7" s="230">
        <f t="shared" si="170"/>
        <v>0.37164601514697743</v>
      </c>
      <c r="GB7" s="230">
        <f t="shared" si="44"/>
        <v>0.33769648488544612</v>
      </c>
      <c r="GC7" s="230">
        <f t="shared" si="45"/>
        <v>2.2728962209183898E-2</v>
      </c>
      <c r="GD7" s="230">
        <f t="shared" si="46"/>
        <v>6.7305889242211228</v>
      </c>
      <c r="GF7" s="231">
        <f t="shared" si="171"/>
        <v>4.4732380952380952E-3</v>
      </c>
      <c r="GG7" s="231">
        <f t="shared" si="172"/>
        <v>8.8097320727990123E-3</v>
      </c>
      <c r="GH7" s="231">
        <f t="shared" si="173"/>
        <v>4.9739441012198252E-2</v>
      </c>
      <c r="GI7" s="231">
        <f t="shared" si="174"/>
        <v>3.4538961535308223E-3</v>
      </c>
      <c r="GJ7" s="245">
        <f t="shared" si="187"/>
        <v>1.6619076833441545E-2</v>
      </c>
      <c r="GK7" s="231">
        <f t="shared" si="188"/>
        <v>2.2202010193622734E-2</v>
      </c>
      <c r="GL7" s="231">
        <f t="shared" si="47"/>
        <v>133.59352276985081</v>
      </c>
      <c r="GN7" s="246">
        <f t="shared" si="175"/>
        <v>3.6388076923076926E-2</v>
      </c>
      <c r="GO7" s="246">
        <f t="shared" si="176"/>
        <v>3.6388076923076926E-2</v>
      </c>
      <c r="GP7" s="246">
        <f t="shared" si="177"/>
        <v>3.2342967959480697E-2</v>
      </c>
      <c r="GQ7" s="247">
        <f t="shared" si="189"/>
        <v>3.5039707268544849E-2</v>
      </c>
      <c r="GR7" s="246">
        <f t="shared" si="190"/>
        <v>2.335444749033651E-3</v>
      </c>
      <c r="GS7" s="246">
        <f t="shared" si="48"/>
        <v>6.6651377282771431</v>
      </c>
      <c r="GU7" s="249">
        <f t="shared" si="178"/>
        <v>4.2199872480465292E-3</v>
      </c>
      <c r="GV7" s="249">
        <f t="shared" si="179"/>
        <v>4.2199872480465292E-3</v>
      </c>
      <c r="GW7" s="249" t="e">
        <f t="shared" si="180"/>
        <v>#DIV/0!</v>
      </c>
      <c r="GX7" s="249" t="e">
        <f t="shared" si="49"/>
        <v>#DIV/0!</v>
      </c>
      <c r="GZ7" s="240">
        <f t="shared" si="181"/>
        <v>4.6204239942115293E-3</v>
      </c>
      <c r="HA7" s="240">
        <f t="shared" si="182"/>
        <v>4.6204239942115293E-3</v>
      </c>
      <c r="HB7" s="240" t="e">
        <f t="shared" si="183"/>
        <v>#DIV/0!</v>
      </c>
      <c r="HC7" s="240" t="e">
        <f t="shared" si="50"/>
        <v>#DIV/0!</v>
      </c>
      <c r="HE7" s="234">
        <f t="shared" si="184"/>
        <v>1.789748184370573E-2</v>
      </c>
      <c r="HF7" s="251">
        <f t="shared" si="185"/>
        <v>1.789748184370573E-2</v>
      </c>
      <c r="HG7" s="234" t="e">
        <f t="shared" si="186"/>
        <v>#DIV/0!</v>
      </c>
      <c r="HH7" s="234" t="e">
        <f t="shared" si="51"/>
        <v>#DIV/0!</v>
      </c>
    </row>
    <row r="8" spans="1:216" ht="15.6" x14ac:dyDescent="0.25">
      <c r="B8">
        <v>4</v>
      </c>
      <c r="C8" s="124">
        <f t="shared" si="52"/>
        <v>16.644148486922436</v>
      </c>
      <c r="D8" s="124">
        <f t="shared" si="53"/>
        <v>101.125652839937</v>
      </c>
      <c r="E8" s="29">
        <f t="shared" si="54"/>
        <v>0.70549424824208795</v>
      </c>
      <c r="F8" s="29">
        <f t="shared" si="0"/>
        <v>0.67441460406336728</v>
      </c>
      <c r="G8" s="29">
        <f t="shared" si="1"/>
        <v>0.70126831371369958</v>
      </c>
      <c r="H8" s="29">
        <f t="shared" si="2"/>
        <v>0.70549424824208795</v>
      </c>
      <c r="I8" s="29">
        <f t="shared" si="3"/>
        <v>0.68628073661646327</v>
      </c>
      <c r="J8" s="125">
        <f t="shared" si="4"/>
        <v>0.69459043017554123</v>
      </c>
      <c r="K8" s="126">
        <f t="shared" si="5"/>
        <v>1.3770399338439402E-2</v>
      </c>
      <c r="L8" s="126">
        <f t="shared" si="55"/>
        <v>1.9825207403101224</v>
      </c>
      <c r="N8" s="138">
        <f t="shared" si="56"/>
        <v>145.86399033686365</v>
      </c>
      <c r="O8" s="138">
        <f t="shared" si="57"/>
        <v>187.04759999999999</v>
      </c>
      <c r="P8" s="138">
        <f t="shared" si="58"/>
        <v>149.20442660734579</v>
      </c>
      <c r="Q8" s="138">
        <f t="shared" si="59"/>
        <v>128.42138675343418</v>
      </c>
      <c r="R8" s="138">
        <f t="shared" si="60"/>
        <v>145.86399033686365</v>
      </c>
      <c r="S8" s="138">
        <f t="shared" si="61"/>
        <v>184.96815323316071</v>
      </c>
      <c r="T8" s="138">
        <f t="shared" si="62"/>
        <v>156.89492454461134</v>
      </c>
      <c r="U8" s="138">
        <f t="shared" si="63"/>
        <v>23.708813289481842</v>
      </c>
      <c r="V8" s="138">
        <f t="shared" si="64"/>
        <v>15.111268486406967</v>
      </c>
      <c r="X8" s="227">
        <f t="shared" si="65"/>
        <v>0.35728796960000003</v>
      </c>
      <c r="Y8" s="227">
        <f t="shared" si="66"/>
        <v>0.39928357791254776</v>
      </c>
      <c r="Z8" s="227">
        <f t="shared" si="67"/>
        <v>0.35728796960000003</v>
      </c>
      <c r="AA8" s="227">
        <f t="shared" si="68"/>
        <v>0.37128650570418259</v>
      </c>
      <c r="AB8" s="227">
        <f t="shared" si="69"/>
        <v>2.4246175764031517E-2</v>
      </c>
      <c r="AC8" s="227">
        <f t="shared" si="70"/>
        <v>6.5303142967844146</v>
      </c>
      <c r="AE8" s="228">
        <f t="shared" si="71"/>
        <v>1.2464553633994799</v>
      </c>
      <c r="AF8" s="228">
        <f t="shared" si="72"/>
        <v>1.4724047999999998</v>
      </c>
      <c r="AG8" s="228">
        <f t="shared" si="73"/>
        <v>1.2464553633994799</v>
      </c>
      <c r="AH8" s="228">
        <f t="shared" si="74"/>
        <v>1.4928831626048653</v>
      </c>
      <c r="AI8" s="228">
        <f t="shared" si="75"/>
        <v>1.4724047999999998</v>
      </c>
      <c r="AJ8" s="228">
        <f t="shared" si="76"/>
        <v>1.1930338606568911</v>
      </c>
      <c r="AK8" s="228">
        <f t="shared" si="77"/>
        <v>1.4179114457401434</v>
      </c>
      <c r="AL8" s="228">
        <f t="shared" si="78"/>
        <v>1.3630783994001228</v>
      </c>
      <c r="AM8" s="228">
        <f t="shared" si="79"/>
        <v>0.12902033009454272</v>
      </c>
      <c r="AN8" s="228">
        <f t="shared" si="80"/>
        <v>9.4653638522423424</v>
      </c>
      <c r="AP8" s="229">
        <f t="shared" si="81"/>
        <v>1.1763904034896402</v>
      </c>
      <c r="AQ8" s="229">
        <f t="shared" si="82"/>
        <v>1.2534959833382924</v>
      </c>
      <c r="AR8" s="229">
        <f t="shared" si="83"/>
        <v>1.0716642379574257</v>
      </c>
      <c r="AS8" s="229">
        <f t="shared" si="84"/>
        <v>1.0295529392511125</v>
      </c>
      <c r="AT8" s="229">
        <f t="shared" si="85"/>
        <v>1.1763904034896402</v>
      </c>
      <c r="AU8" s="229">
        <f t="shared" si="86"/>
        <v>0.30017332398422403</v>
      </c>
      <c r="AV8" s="229">
        <f t="shared" si="87"/>
        <v>1.2534959833382924</v>
      </c>
      <c r="AW8" s="229">
        <f t="shared" si="88"/>
        <v>1.2607506497946444</v>
      </c>
      <c r="AX8" s="229">
        <f t="shared" si="89"/>
        <v>1.4965454769789452</v>
      </c>
      <c r="AY8" s="229">
        <f t="shared" si="90"/>
        <v>1.1131621557358018</v>
      </c>
      <c r="AZ8" s="229">
        <f t="shared" si="91"/>
        <v>0.3327557930312926</v>
      </c>
      <c r="BA8" s="229">
        <f t="shared" si="92"/>
        <v>29.892840977093815</v>
      </c>
      <c r="BC8" s="230">
        <f t="shared" si="93"/>
        <v>2.4617263999999999</v>
      </c>
      <c r="BD8" s="230">
        <f t="shared" si="94"/>
        <v>5.3236647379574258</v>
      </c>
      <c r="BE8" s="230">
        <f t="shared" si="95"/>
        <v>2.4617263999999999</v>
      </c>
      <c r="BF8" s="230">
        <f t="shared" si="96"/>
        <v>2.7690970084722406</v>
      </c>
      <c r="BG8" s="230">
        <f t="shared" si="97"/>
        <v>3.2540536366074164</v>
      </c>
      <c r="BH8" s="230">
        <f t="shared" si="98"/>
        <v>1.3873281204943708</v>
      </c>
      <c r="BI8" s="230">
        <f t="shared" si="99"/>
        <v>42.633843059229953</v>
      </c>
      <c r="BK8" s="227">
        <f t="shared" si="6"/>
        <v>1.4418576923076922</v>
      </c>
      <c r="BL8" s="227">
        <f t="shared" si="7"/>
        <v>5.192296109783376</v>
      </c>
      <c r="BM8" s="227">
        <f t="shared" si="8"/>
        <v>4.3194840054394739</v>
      </c>
      <c r="BN8" s="227">
        <f t="shared" si="9"/>
        <v>4.927170549887836</v>
      </c>
      <c r="BO8" s="227">
        <f t="shared" si="10"/>
        <v>1.4418576923076922</v>
      </c>
      <c r="BP8" s="227">
        <f t="shared" si="11"/>
        <v>4.7538896786119871</v>
      </c>
      <c r="BQ8" s="227">
        <f t="shared" si="12"/>
        <v>7.2135493394346462</v>
      </c>
      <c r="BR8" s="227">
        <f t="shared" si="100"/>
        <v>4.1843007239675289</v>
      </c>
      <c r="BS8" s="227">
        <f t="shared" si="101"/>
        <v>2.0868217904683037</v>
      </c>
      <c r="BT8" s="227">
        <f t="shared" si="13"/>
        <v>49.872653237255662</v>
      </c>
      <c r="BV8" s="231">
        <f t="shared" si="102"/>
        <v>9.8064827428571422E-2</v>
      </c>
      <c r="BW8" s="231">
        <f t="shared" si="103"/>
        <v>0.11296636385271545</v>
      </c>
      <c r="BX8" s="231">
        <f t="shared" si="104"/>
        <v>0.10383879261035049</v>
      </c>
      <c r="BY8" s="231">
        <f t="shared" si="105"/>
        <v>9.8064827428571422E-2</v>
      </c>
      <c r="BZ8" s="231">
        <f t="shared" si="106"/>
        <v>9.4053707275959922E-2</v>
      </c>
      <c r="CA8" s="231">
        <f t="shared" si="107"/>
        <v>9.4486888459736934E-2</v>
      </c>
      <c r="CB8" s="231">
        <f t="shared" si="108"/>
        <v>0.10477910851293108</v>
      </c>
      <c r="CC8" s="231">
        <f t="shared" si="109"/>
        <v>0.10469372854514147</v>
      </c>
      <c r="CD8" s="231">
        <f t="shared" si="110"/>
        <v>0.10136853051424728</v>
      </c>
      <c r="CE8" s="231">
        <f t="shared" si="111"/>
        <v>6.3918861706575118E-3</v>
      </c>
      <c r="CF8" s="231">
        <f t="shared" si="14"/>
        <v>6.3055922170630021</v>
      </c>
      <c r="CH8" s="232">
        <f t="shared" si="112"/>
        <v>0.44936070886529789</v>
      </c>
      <c r="CI8" s="232">
        <f t="shared" si="113"/>
        <v>0.54015390476190472</v>
      </c>
      <c r="CJ8" s="232">
        <f t="shared" si="114"/>
        <v>0.86309158510298567</v>
      </c>
      <c r="CK8" s="232">
        <f t="shared" si="115"/>
        <v>0.52384885230143607</v>
      </c>
      <c r="CL8" s="232">
        <f t="shared" si="116"/>
        <v>0.40812358923032943</v>
      </c>
      <c r="CM8" s="232">
        <f t="shared" si="117"/>
        <v>0.44936070886529789</v>
      </c>
      <c r="CN8" s="232">
        <f t="shared" si="118"/>
        <v>0.44936070886529789</v>
      </c>
      <c r="CO8" s="232">
        <f t="shared" si="119"/>
        <v>0.50742956033800701</v>
      </c>
      <c r="CP8" s="232">
        <f t="shared" si="120"/>
        <v>0.54015390476190472</v>
      </c>
      <c r="CQ8" s="232">
        <f t="shared" si="121"/>
        <v>0.54459696454019646</v>
      </c>
      <c r="CR8" s="232">
        <f t="shared" si="122"/>
        <v>0.52754804876326578</v>
      </c>
      <c r="CS8" s="232">
        <f t="shared" si="123"/>
        <v>0.12746170014998684</v>
      </c>
      <c r="CT8" s="232">
        <f t="shared" si="15"/>
        <v>24.161154694590589</v>
      </c>
      <c r="CV8" s="229">
        <f t="shared" si="16"/>
        <v>0.30266380952380956</v>
      </c>
      <c r="CW8" s="229">
        <f t="shared" si="17"/>
        <v>0.22507250705241935</v>
      </c>
      <c r="CX8" s="229">
        <f t="shared" si="18"/>
        <v>0.10407950211000236</v>
      </c>
      <c r="CY8" s="229">
        <f t="shared" si="19"/>
        <v>0.12958768061501871</v>
      </c>
      <c r="CZ8" s="229">
        <f t="shared" si="20"/>
        <v>0.29697640246886747</v>
      </c>
      <c r="DA8" s="229">
        <f t="shared" si="21"/>
        <v>0.30266380952380956</v>
      </c>
      <c r="DB8" s="229">
        <f t="shared" si="22"/>
        <v>0.11318020971107257</v>
      </c>
      <c r="DC8" s="229">
        <f t="shared" si="23"/>
        <v>0.26942909768319634</v>
      </c>
      <c r="DD8" s="229">
        <f t="shared" si="24"/>
        <v>0.21795662733602447</v>
      </c>
      <c r="DE8" s="229">
        <f t="shared" si="25"/>
        <v>8.8680773663464593E-2</v>
      </c>
      <c r="DF8" s="229">
        <f t="shared" si="26"/>
        <v>40.68734901405184</v>
      </c>
      <c r="DH8" s="234">
        <f t="shared" si="124"/>
        <v>5.9199999999999999E-3</v>
      </c>
      <c r="DI8" s="234">
        <f t="shared" si="125"/>
        <v>8.0000000000000002E-3</v>
      </c>
      <c r="DJ8" s="234">
        <f t="shared" si="126"/>
        <v>2.924872895551324E-2</v>
      </c>
      <c r="DK8" s="234">
        <f t="shared" si="27"/>
        <v>1.4389576318504413E-2</v>
      </c>
      <c r="DL8" s="234">
        <f t="shared" si="28"/>
        <v>1.2910360677279499E-2</v>
      </c>
      <c r="DM8" s="234">
        <f t="shared" si="29"/>
        <v>89.720227972781217</v>
      </c>
      <c r="DO8" s="229">
        <f t="shared" si="127"/>
        <v>1.1879616</v>
      </c>
      <c r="DP8" s="229">
        <f t="shared" si="128"/>
        <v>0.7841584046004052</v>
      </c>
      <c r="DQ8" s="229">
        <f t="shared" si="129"/>
        <v>0.51476836565005668</v>
      </c>
      <c r="DR8" s="229">
        <f t="shared" si="130"/>
        <v>1.0418856452633118</v>
      </c>
      <c r="DS8" s="229">
        <f t="shared" si="131"/>
        <v>1.1561148276200068</v>
      </c>
      <c r="DT8" s="229">
        <f t="shared" si="132"/>
        <v>1.1879616</v>
      </c>
      <c r="DU8" s="229">
        <f t="shared" si="133"/>
        <v>-4.9008160000000002E-2</v>
      </c>
      <c r="DV8" s="229">
        <f t="shared" si="134"/>
        <v>0.40631662512737543</v>
      </c>
      <c r="DW8" s="229">
        <f t="shared" si="30"/>
        <v>0.77876986353264444</v>
      </c>
      <c r="DX8" s="229">
        <f t="shared" si="31"/>
        <v>0.45358234237574085</v>
      </c>
      <c r="DY8" s="229">
        <f t="shared" si="32"/>
        <v>58.243437967438453</v>
      </c>
      <c r="EA8" s="235">
        <f t="shared" si="135"/>
        <v>5.1911574952561663E-2</v>
      </c>
      <c r="EB8" s="235">
        <f t="shared" si="136"/>
        <v>5.0386699107977204E-2</v>
      </c>
      <c r="EC8" s="235">
        <f t="shared" si="137"/>
        <v>5.1911574952561663E-2</v>
      </c>
      <c r="ED8" s="235">
        <f t="shared" si="138"/>
        <v>3.4952711822537112E-2</v>
      </c>
      <c r="EE8" s="235">
        <f t="shared" si="139"/>
        <v>4.4704136643537035E-2</v>
      </c>
      <c r="EF8" s="235">
        <f t="shared" si="140"/>
        <v>4.677333949583494E-2</v>
      </c>
      <c r="EG8" s="235">
        <f t="shared" si="141"/>
        <v>7.2434131101794998E-3</v>
      </c>
      <c r="EH8" s="235">
        <f t="shared" si="33"/>
        <v>15.48620044721098</v>
      </c>
      <c r="EJ8" s="229">
        <f t="shared" si="142"/>
        <v>3.0102375545851525</v>
      </c>
      <c r="EK8" s="229">
        <f t="shared" si="143"/>
        <v>5.0725413425177397</v>
      </c>
      <c r="EL8" s="229">
        <f t="shared" si="144"/>
        <v>2.7572176000000002</v>
      </c>
      <c r="EM8" s="229">
        <f t="shared" si="145"/>
        <v>5.2306770040431285</v>
      </c>
      <c r="EN8" s="229">
        <f t="shared" si="146"/>
        <v>4.2703570094919199</v>
      </c>
      <c r="EO8" s="229">
        <f t="shared" si="34"/>
        <v>5.8695459294094237</v>
      </c>
      <c r="EP8" s="229">
        <f t="shared" si="147"/>
        <v>3.6854023697032301</v>
      </c>
      <c r="EQ8" s="229">
        <f t="shared" si="148"/>
        <v>4.2708541156786568</v>
      </c>
      <c r="ER8" s="229">
        <f t="shared" si="149"/>
        <v>1.1791791998161487</v>
      </c>
      <c r="ES8" s="229">
        <f t="shared" si="35"/>
        <v>27.609915203782887</v>
      </c>
      <c r="EU8" s="238">
        <f t="shared" si="150"/>
        <v>3.3366125555348534E-3</v>
      </c>
      <c r="EV8" s="238">
        <f t="shared" si="151"/>
        <v>3.3366125555348534E-3</v>
      </c>
      <c r="EW8" s="238" t="e">
        <f t="shared" si="152"/>
        <v>#DIV/0!</v>
      </c>
      <c r="EX8" s="238" t="e">
        <f t="shared" si="36"/>
        <v>#DIV/0!</v>
      </c>
      <c r="EZ8" s="240">
        <f t="shared" si="153"/>
        <v>3.1100045279447452E-9</v>
      </c>
      <c r="FA8" s="240">
        <f t="shared" si="154"/>
        <v>3.1100045279447452E-9</v>
      </c>
      <c r="FB8" s="240" t="e">
        <f t="shared" si="155"/>
        <v>#DIV/0!</v>
      </c>
      <c r="FC8" s="240" t="e">
        <f t="shared" si="37"/>
        <v>#DIV/0!</v>
      </c>
      <c r="FE8" s="236">
        <f t="shared" si="156"/>
        <v>0.22339600769230766</v>
      </c>
      <c r="FF8" s="236">
        <f t="shared" si="157"/>
        <v>0.265769608624634</v>
      </c>
      <c r="FG8" s="236">
        <f t="shared" si="158"/>
        <v>0.2554270238322921</v>
      </c>
      <c r="FH8" s="236">
        <f t="shared" si="159"/>
        <v>0.27462845003422021</v>
      </c>
      <c r="FI8" s="236">
        <f t="shared" si="160"/>
        <v>0.80710807768269321</v>
      </c>
      <c r="FJ8" s="236">
        <f t="shared" si="161"/>
        <v>0.28325358093333131</v>
      </c>
      <c r="FK8" s="236">
        <f t="shared" si="38"/>
        <v>0.35159712479991306</v>
      </c>
      <c r="FL8" s="236">
        <f t="shared" si="39"/>
        <v>0.22411417731155997</v>
      </c>
      <c r="FM8" s="236">
        <f t="shared" si="40"/>
        <v>63.741754839178185</v>
      </c>
      <c r="FO8" s="227">
        <f t="shared" si="162"/>
        <v>8.4245048543689319E-2</v>
      </c>
      <c r="FP8" s="227">
        <f t="shared" si="163"/>
        <v>9.2837266265964669E-2</v>
      </c>
      <c r="FQ8" s="227">
        <f t="shared" si="164"/>
        <v>8.9598516658066854E-2</v>
      </c>
      <c r="FR8" s="227">
        <f t="shared" si="165"/>
        <v>8.4245048543689319E-2</v>
      </c>
      <c r="FS8" s="227">
        <f t="shared" si="166"/>
        <v>7.4898668191150958E-2</v>
      </c>
      <c r="FT8" s="227">
        <f t="shared" si="41"/>
        <v>8.5164909640512224E-2</v>
      </c>
      <c r="FU8" s="227">
        <f t="shared" si="42"/>
        <v>6.8119367610414852E-3</v>
      </c>
      <c r="FV8" s="227">
        <f t="shared" si="43"/>
        <v>7.998525202216741</v>
      </c>
      <c r="FX8" s="230">
        <f t="shared" si="167"/>
        <v>0.40733141760000013</v>
      </c>
      <c r="FY8" s="230">
        <f t="shared" si="168"/>
        <v>0.34952711822537119</v>
      </c>
      <c r="FZ8" s="230">
        <f t="shared" si="169"/>
        <v>0.40733141760000013</v>
      </c>
      <c r="GA8" s="230">
        <f t="shared" si="170"/>
        <v>0.4472557399794892</v>
      </c>
      <c r="GB8" s="230">
        <f t="shared" si="44"/>
        <v>0.40286142335121516</v>
      </c>
      <c r="GC8" s="230">
        <f t="shared" si="45"/>
        <v>4.0230026718511364E-2</v>
      </c>
      <c r="GD8" s="230">
        <f t="shared" si="46"/>
        <v>9.9860707396247186</v>
      </c>
      <c r="GF8" s="231">
        <f t="shared" si="171"/>
        <v>5.276190476190476E-3</v>
      </c>
      <c r="GG8" s="231">
        <f t="shared" si="172"/>
        <v>1.1743916850197111E-2</v>
      </c>
      <c r="GH8" s="231">
        <f t="shared" si="173"/>
        <v>6.6832205702038808E-2</v>
      </c>
      <c r="GI8" s="231">
        <f t="shared" si="174"/>
        <v>2.8663513929312236E-3</v>
      </c>
      <c r="GJ8" s="245">
        <f t="shared" si="187"/>
        <v>2.1679666105339404E-2</v>
      </c>
      <c r="GK8" s="231">
        <f t="shared" si="188"/>
        <v>3.0334170877503612E-2</v>
      </c>
      <c r="GL8" s="231">
        <f t="shared" si="47"/>
        <v>139.91991726308333</v>
      </c>
      <c r="GN8" s="246">
        <f t="shared" si="175"/>
        <v>4.1697692307692318E-2</v>
      </c>
      <c r="GO8" s="246">
        <f t="shared" si="176"/>
        <v>4.1697692307692318E-2</v>
      </c>
      <c r="GP8" s="246">
        <f t="shared" si="177"/>
        <v>3.4952711822537112E-2</v>
      </c>
      <c r="GQ8" s="247">
        <f t="shared" si="189"/>
        <v>3.9449365479307247E-2</v>
      </c>
      <c r="GR8" s="246">
        <f t="shared" si="190"/>
        <v>3.8942162987831304E-3</v>
      </c>
      <c r="GS8" s="246">
        <f t="shared" si="48"/>
        <v>9.8714294931455893</v>
      </c>
      <c r="GU8" s="249">
        <f t="shared" si="178"/>
        <v>4.5604966854167475E-3</v>
      </c>
      <c r="GV8" s="249">
        <f t="shared" si="179"/>
        <v>4.5604966854167475E-3</v>
      </c>
      <c r="GW8" s="249" t="e">
        <f t="shared" si="180"/>
        <v>#DIV/0!</v>
      </c>
      <c r="GX8" s="249" t="e">
        <f t="shared" si="49"/>
        <v>#DIV/0!</v>
      </c>
      <c r="GZ8" s="240">
        <f t="shared" si="181"/>
        <v>4.9932445460767316E-3</v>
      </c>
      <c r="HA8" s="240">
        <f t="shared" si="182"/>
        <v>4.9932445460767316E-3</v>
      </c>
      <c r="HB8" s="240" t="e">
        <f t="shared" si="183"/>
        <v>#DIV/0!</v>
      </c>
      <c r="HC8" s="240" t="e">
        <f t="shared" si="50"/>
        <v>#DIV/0!</v>
      </c>
      <c r="HE8" s="234">
        <f t="shared" si="184"/>
        <v>1.93763366994377E-2</v>
      </c>
      <c r="HF8" s="251">
        <f t="shared" si="185"/>
        <v>1.93763366994377E-2</v>
      </c>
      <c r="HG8" s="234" t="e">
        <f t="shared" si="186"/>
        <v>#DIV/0!</v>
      </c>
      <c r="HH8" s="234" t="e">
        <f t="shared" si="51"/>
        <v>#DIV/0!</v>
      </c>
    </row>
    <row r="9" spans="1:216" ht="15.6" x14ac:dyDescent="0.25">
      <c r="B9">
        <v>5</v>
      </c>
      <c r="C9" s="124">
        <f t="shared" si="52"/>
        <v>18.164476849018762</v>
      </c>
      <c r="D9" s="124">
        <f t="shared" si="53"/>
        <v>109.40126412883201</v>
      </c>
      <c r="E9" s="29">
        <f t="shared" si="54"/>
        <v>0.7630991694137168</v>
      </c>
      <c r="F9" s="29">
        <f t="shared" si="0"/>
        <v>0.74101542860217229</v>
      </c>
      <c r="G9" s="29">
        <f t="shared" si="1"/>
        <v>0.75831602714566504</v>
      </c>
      <c r="H9" s="29">
        <f t="shared" si="2"/>
        <v>0.7630991694137168</v>
      </c>
      <c r="I9" s="29">
        <f t="shared" si="3"/>
        <v>0.74209383544308982</v>
      </c>
      <c r="J9" s="125">
        <f t="shared" si="4"/>
        <v>0.75352472600367215</v>
      </c>
      <c r="K9" s="126">
        <f t="shared" si="5"/>
        <v>1.1106802874193127E-2</v>
      </c>
      <c r="L9" s="126">
        <f t="shared" si="55"/>
        <v>1.4739798829294155</v>
      </c>
      <c r="N9" s="138">
        <f t="shared" si="56"/>
        <v>158.24019246077114</v>
      </c>
      <c r="O9" s="138">
        <f t="shared" si="57"/>
        <v>217.17399999999998</v>
      </c>
      <c r="P9" s="138">
        <f t="shared" si="58"/>
        <v>160.25729833990107</v>
      </c>
      <c r="Q9" s="138">
        <f t="shared" si="59"/>
        <v>137.25308609088589</v>
      </c>
      <c r="R9" s="138">
        <f t="shared" si="60"/>
        <v>158.24019246077114</v>
      </c>
      <c r="S9" s="138">
        <f t="shared" si="61"/>
        <v>211.43189695403061</v>
      </c>
      <c r="T9" s="138">
        <f t="shared" si="62"/>
        <v>173.76611105105997</v>
      </c>
      <c r="U9" s="138">
        <f t="shared" si="63"/>
        <v>32.55995564936778</v>
      </c>
      <c r="V9" s="138">
        <f t="shared" si="64"/>
        <v>18.73780534790254</v>
      </c>
      <c r="X9" s="227">
        <f t="shared" si="65"/>
        <v>0.36395816875000003</v>
      </c>
      <c r="Y9" s="227">
        <f t="shared" si="66"/>
        <v>0.4041048433245148</v>
      </c>
      <c r="Z9" s="227">
        <f t="shared" si="67"/>
        <v>0.36395816875000003</v>
      </c>
      <c r="AA9" s="227">
        <f t="shared" si="68"/>
        <v>0.37734039360817162</v>
      </c>
      <c r="AB9" s="227">
        <f t="shared" si="69"/>
        <v>2.31786933726644E-2</v>
      </c>
      <c r="AC9" s="227">
        <f t="shared" si="70"/>
        <v>6.1426483263631297</v>
      </c>
      <c r="AE9" s="228">
        <f t="shared" si="71"/>
        <v>1.3753372599635687</v>
      </c>
      <c r="AF9" s="228">
        <f t="shared" si="72"/>
        <v>1.7103499999999996</v>
      </c>
      <c r="AG9" s="228">
        <f t="shared" si="73"/>
        <v>1.3753372599635687</v>
      </c>
      <c r="AH9" s="228">
        <f t="shared" si="74"/>
        <v>1.6292380953999059</v>
      </c>
      <c r="AI9" s="228">
        <f t="shared" si="75"/>
        <v>1.7103499999999996</v>
      </c>
      <c r="AJ9" s="228">
        <f t="shared" si="76"/>
        <v>1.3378890500037783</v>
      </c>
      <c r="AK9" s="228">
        <f t="shared" si="77"/>
        <v>1.6030540920681395</v>
      </c>
      <c r="AL9" s="228">
        <f t="shared" si="78"/>
        <v>1.5345079653427085</v>
      </c>
      <c r="AM9" s="228">
        <f t="shared" si="79"/>
        <v>0.16575224287340606</v>
      </c>
      <c r="AN9" s="228">
        <f t="shared" si="80"/>
        <v>10.801654120862636</v>
      </c>
      <c r="AP9" s="229">
        <f t="shared" si="81"/>
        <v>1.2190366972477065</v>
      </c>
      <c r="AQ9" s="229">
        <f t="shared" si="82"/>
        <v>1.2870016047401558</v>
      </c>
      <c r="AR9" s="229">
        <f t="shared" si="83"/>
        <v>1.1615101416035543</v>
      </c>
      <c r="AS9" s="229">
        <f t="shared" si="84"/>
        <v>1.0943708071716176</v>
      </c>
      <c r="AT9" s="229">
        <f t="shared" si="85"/>
        <v>1.2190366972477065</v>
      </c>
      <c r="AU9" s="229">
        <f t="shared" si="86"/>
        <v>0.35884612282580164</v>
      </c>
      <c r="AV9" s="229">
        <f t="shared" si="87"/>
        <v>1.2870016047401558</v>
      </c>
      <c r="AW9" s="229">
        <f t="shared" si="88"/>
        <v>1.3281165258014327</v>
      </c>
      <c r="AX9" s="229">
        <f t="shared" si="89"/>
        <v>1.5024395920216351</v>
      </c>
      <c r="AY9" s="229">
        <f t="shared" si="90"/>
        <v>1.1619288659333076</v>
      </c>
      <c r="AZ9" s="229">
        <f t="shared" si="91"/>
        <v>0.32227337784957311</v>
      </c>
      <c r="BA9" s="229">
        <f t="shared" si="92"/>
        <v>27.736067783350084</v>
      </c>
      <c r="BC9" s="230">
        <f t="shared" si="93"/>
        <v>2.4904625</v>
      </c>
      <c r="BD9" s="230">
        <f t="shared" si="94"/>
        <v>6.3777706416035542</v>
      </c>
      <c r="BE9" s="230">
        <f t="shared" si="95"/>
        <v>2.4904625</v>
      </c>
      <c r="BF9" s="230">
        <f t="shared" si="96"/>
        <v>2.7697658533001386</v>
      </c>
      <c r="BG9" s="230">
        <f t="shared" si="97"/>
        <v>3.5321153737259232</v>
      </c>
      <c r="BH9" s="230">
        <f t="shared" si="98"/>
        <v>1.9016669979762562</v>
      </c>
      <c r="BI9" s="230">
        <f t="shared" si="99"/>
        <v>53.839322807007981</v>
      </c>
      <c r="BK9" s="227">
        <f t="shared" si="6"/>
        <v>1.8464903846153846</v>
      </c>
      <c r="BL9" s="227">
        <f t="shared" si="7"/>
        <v>6.6691893890545533</v>
      </c>
      <c r="BM9" s="227">
        <f t="shared" si="8"/>
        <v>5.2023402198801945</v>
      </c>
      <c r="BN9" s="227">
        <f t="shared" si="9"/>
        <v>5.5485319439042806</v>
      </c>
      <c r="BO9" s="227">
        <f t="shared" si="10"/>
        <v>1.8464903846153846</v>
      </c>
      <c r="BP9" s="227">
        <f t="shared" si="11"/>
        <v>5.4549102284241986</v>
      </c>
      <c r="BQ9" s="227">
        <f t="shared" si="12"/>
        <v>8.7720575786482708</v>
      </c>
      <c r="BR9" s="227">
        <f t="shared" si="100"/>
        <v>5.0485728755917529</v>
      </c>
      <c r="BS9" s="227">
        <f t="shared" si="101"/>
        <v>2.4978695684557324</v>
      </c>
      <c r="BT9" s="227">
        <f t="shared" si="13"/>
        <v>49.47674580537678</v>
      </c>
      <c r="BV9" s="231">
        <f t="shared" si="102"/>
        <v>0.10228934523809523</v>
      </c>
      <c r="BW9" s="231">
        <f t="shared" si="103"/>
        <v>0.11779283344841468</v>
      </c>
      <c r="BX9" s="231">
        <f t="shared" si="104"/>
        <v>0.11179634721023325</v>
      </c>
      <c r="BY9" s="231">
        <f t="shared" si="105"/>
        <v>0.10228934523809523</v>
      </c>
      <c r="BZ9" s="231">
        <f t="shared" si="106"/>
        <v>9.7482775371072736E-2</v>
      </c>
      <c r="CA9" s="231">
        <f t="shared" si="107"/>
        <v>0.10514830275590882</v>
      </c>
      <c r="CB9" s="231">
        <f t="shared" si="108"/>
        <v>0.1312958553032523</v>
      </c>
      <c r="CC9" s="231">
        <f t="shared" si="109"/>
        <v>0.14386803573374182</v>
      </c>
      <c r="CD9" s="231">
        <f t="shared" si="110"/>
        <v>0.11399535503735175</v>
      </c>
      <c r="CE9" s="231">
        <f t="shared" si="111"/>
        <v>1.6194963023340225E-2</v>
      </c>
      <c r="CF9" s="231">
        <f t="shared" si="14"/>
        <v>14.206686770731825</v>
      </c>
      <c r="CH9" s="232">
        <f t="shared" si="112"/>
        <v>0.48106628389792144</v>
      </c>
      <c r="CI9" s="232">
        <f t="shared" si="113"/>
        <v>0.56117380952380946</v>
      </c>
      <c r="CJ9" s="232">
        <f t="shared" si="114"/>
        <v>0.97472368190300507</v>
      </c>
      <c r="CK9" s="232">
        <f t="shared" si="115"/>
        <v>0.54759916497310979</v>
      </c>
      <c r="CL9" s="232">
        <f t="shared" si="116"/>
        <v>0.44387730939587228</v>
      </c>
      <c r="CM9" s="232">
        <f t="shared" si="117"/>
        <v>0.48106628389792144</v>
      </c>
      <c r="CN9" s="232">
        <f t="shared" si="118"/>
        <v>0.48106628389792144</v>
      </c>
      <c r="CO9" s="232">
        <f t="shared" si="119"/>
        <v>0.54348723819562028</v>
      </c>
      <c r="CP9" s="232">
        <f t="shared" si="120"/>
        <v>0.56117380952380946</v>
      </c>
      <c r="CQ9" s="232">
        <f t="shared" si="121"/>
        <v>0.60295213020523708</v>
      </c>
      <c r="CR9" s="232">
        <f t="shared" si="122"/>
        <v>0.56781859954142266</v>
      </c>
      <c r="CS9" s="232">
        <f t="shared" si="123"/>
        <v>0.15122999202393111</v>
      </c>
      <c r="CT9" s="232">
        <f t="shared" si="15"/>
        <v>26.633504458301704</v>
      </c>
      <c r="CV9" s="229">
        <f t="shared" si="16"/>
        <v>0.32204809523809524</v>
      </c>
      <c r="CW9" s="229">
        <f t="shared" si="17"/>
        <v>0.28091214262141118</v>
      </c>
      <c r="CX9" s="229">
        <f t="shared" si="18"/>
        <v>0.11629761473708158</v>
      </c>
      <c r="CY9" s="229">
        <f t="shared" si="19"/>
        <v>0.17688300833347995</v>
      </c>
      <c r="CZ9" s="229">
        <f t="shared" si="20"/>
        <v>0.32284662541821552</v>
      </c>
      <c r="DA9" s="229">
        <f t="shared" si="21"/>
        <v>0.32204809523809524</v>
      </c>
      <c r="DB9" s="229">
        <f t="shared" si="22"/>
        <v>0.12351844257332757</v>
      </c>
      <c r="DC9" s="229">
        <f t="shared" si="23"/>
        <v>0.30244260035970327</v>
      </c>
      <c r="DD9" s="229">
        <f t="shared" si="24"/>
        <v>0.24587457806492619</v>
      </c>
      <c r="DE9" s="229">
        <f t="shared" si="25"/>
        <v>9.1400318535647285E-2</v>
      </c>
      <c r="DF9" s="229">
        <f t="shared" si="26"/>
        <v>37.173553791117001</v>
      </c>
      <c r="DH9" s="234">
        <f t="shared" si="124"/>
        <v>7.4000000000000003E-3</v>
      </c>
      <c r="DI9" s="234">
        <f t="shared" si="125"/>
        <v>0.01</v>
      </c>
      <c r="DJ9" s="234">
        <f t="shared" si="126"/>
        <v>3.3154276768803261E-2</v>
      </c>
      <c r="DK9" s="234">
        <f t="shared" si="27"/>
        <v>1.6851425589601086E-2</v>
      </c>
      <c r="DL9" s="234">
        <f t="shared" si="28"/>
        <v>1.4178406730955717E-2</v>
      </c>
      <c r="DM9" s="234">
        <f t="shared" si="29"/>
        <v>84.137728618670266</v>
      </c>
      <c r="DO9" s="229">
        <f t="shared" si="127"/>
        <v>1.2854999999999999</v>
      </c>
      <c r="DP9" s="229">
        <f t="shared" si="128"/>
        <v>0.97799040521962699</v>
      </c>
      <c r="DQ9" s="229">
        <f t="shared" si="129"/>
        <v>0.55867753234276629</v>
      </c>
      <c r="DR9" s="229">
        <f t="shared" si="130"/>
        <v>1.1302870890055083</v>
      </c>
      <c r="DS9" s="229">
        <f t="shared" si="131"/>
        <v>1.2204061696548902</v>
      </c>
      <c r="DT9" s="229">
        <f t="shared" si="132"/>
        <v>1.2854999999999999</v>
      </c>
      <c r="DU9" s="229">
        <f t="shared" si="133"/>
        <v>-7.1456249999999985E-2</v>
      </c>
      <c r="DV9" s="229">
        <f t="shared" si="134"/>
        <v>0.44754852414011226</v>
      </c>
      <c r="DW9" s="229">
        <f t="shared" si="30"/>
        <v>0.85430668379536301</v>
      </c>
      <c r="DX9" s="229">
        <f t="shared" si="31"/>
        <v>0.4938526150374265</v>
      </c>
      <c r="DY9" s="229">
        <f t="shared" si="32"/>
        <v>57.807415580951002</v>
      </c>
      <c r="EA9" s="235">
        <f t="shared" si="135"/>
        <v>5.5061669829221997E-2</v>
      </c>
      <c r="EB9" s="235">
        <f t="shared" si="136"/>
        <v>5.4835356188002685E-2</v>
      </c>
      <c r="EC9" s="235">
        <f t="shared" si="137"/>
        <v>5.5061669829221997E-2</v>
      </c>
      <c r="ED9" s="235">
        <f t="shared" si="138"/>
        <v>3.8145401382939398E-2</v>
      </c>
      <c r="EE9" s="235">
        <f t="shared" si="139"/>
        <v>4.9157165186820992E-2</v>
      </c>
      <c r="EF9" s="235">
        <f t="shared" si="140"/>
        <v>5.0452252483241408E-2</v>
      </c>
      <c r="EG9" s="235">
        <f t="shared" si="141"/>
        <v>7.328725839733337E-3</v>
      </c>
      <c r="EH9" s="235">
        <f t="shared" si="33"/>
        <v>14.526062720723324</v>
      </c>
      <c r="EJ9" s="229">
        <f t="shared" si="142"/>
        <v>2.9084470524017467</v>
      </c>
      <c r="EK9" s="229">
        <f t="shared" si="143"/>
        <v>4.9850271854240482</v>
      </c>
      <c r="EL9" s="229">
        <f t="shared" si="144"/>
        <v>2.6638875</v>
      </c>
      <c r="EM9" s="229">
        <f t="shared" si="145"/>
        <v>5.9872995306385013</v>
      </c>
      <c r="EN9" s="229">
        <f t="shared" si="146"/>
        <v>4.7568973965388706</v>
      </c>
      <c r="EO9" s="229">
        <f t="shared" si="34"/>
        <v>5.3975237889529231</v>
      </c>
      <c r="EP9" s="229">
        <f t="shared" si="147"/>
        <v>4.0115752062715826</v>
      </c>
      <c r="EQ9" s="229">
        <f t="shared" si="148"/>
        <v>4.3872368086039533</v>
      </c>
      <c r="ER9" s="229">
        <f t="shared" si="149"/>
        <v>1.2498504179820571</v>
      </c>
      <c r="ES9" s="229">
        <f t="shared" si="35"/>
        <v>28.488328132434855</v>
      </c>
      <c r="EU9" s="238">
        <f t="shared" si="150"/>
        <v>3.6340221146348383E-3</v>
      </c>
      <c r="EV9" s="238">
        <f t="shared" si="151"/>
        <v>3.6340221146348383E-3</v>
      </c>
      <c r="EW9" s="238" t="e">
        <f t="shared" si="152"/>
        <v>#DIV/0!</v>
      </c>
      <c r="EX9" s="238" t="e">
        <f t="shared" si="36"/>
        <v>#DIV/0!</v>
      </c>
      <c r="EZ9" s="240">
        <f t="shared" si="153"/>
        <v>1.4041702066146046E-8</v>
      </c>
      <c r="FA9" s="240">
        <f t="shared" si="154"/>
        <v>1.4041702066146046E-8</v>
      </c>
      <c r="FB9" s="240" t="e">
        <f t="shared" si="155"/>
        <v>#DIV/0!</v>
      </c>
      <c r="FC9" s="240" t="e">
        <f t="shared" si="37"/>
        <v>#DIV/0!</v>
      </c>
      <c r="FE9" s="236">
        <f t="shared" si="156"/>
        <v>0.22861959134615381</v>
      </c>
      <c r="FF9" s="236">
        <f t="shared" si="157"/>
        <v>0.33240392806154689</v>
      </c>
      <c r="FG9" s="236">
        <f t="shared" si="158"/>
        <v>0.28414627670200326</v>
      </c>
      <c r="FH9" s="236">
        <f t="shared" si="159"/>
        <v>0.29971386800880956</v>
      </c>
      <c r="FI9" s="236">
        <f t="shared" si="160"/>
        <v>0.9</v>
      </c>
      <c r="FJ9" s="236">
        <f t="shared" si="161"/>
        <v>0.32019340743223573</v>
      </c>
      <c r="FK9" s="236">
        <f t="shared" si="38"/>
        <v>0.39417951192512485</v>
      </c>
      <c r="FL9" s="236">
        <f t="shared" si="39"/>
        <v>0.25043389970702046</v>
      </c>
      <c r="FM9" s="236">
        <f t="shared" si="40"/>
        <v>63.532956972809593</v>
      </c>
      <c r="FO9" s="227">
        <f t="shared" si="162"/>
        <v>9.0799999999999992E-2</v>
      </c>
      <c r="FP9" s="227">
        <f t="shared" si="163"/>
        <v>0.11047556401010639</v>
      </c>
      <c r="FQ9" s="227">
        <f t="shared" si="164"/>
        <v>0.10122071145339165</v>
      </c>
      <c r="FR9" s="227">
        <f t="shared" si="165"/>
        <v>9.0799999999999992E-2</v>
      </c>
      <c r="FS9" s="227">
        <f t="shared" si="166"/>
        <v>8.174014582058442E-2</v>
      </c>
      <c r="FT9" s="227">
        <f t="shared" si="41"/>
        <v>9.5007284256816482E-2</v>
      </c>
      <c r="FU9" s="227">
        <f t="shared" si="42"/>
        <v>1.1059993218517855E-2</v>
      </c>
      <c r="FV9" s="227">
        <f t="shared" si="43"/>
        <v>11.641205519169795</v>
      </c>
      <c r="FX9" s="230">
        <f t="shared" si="167"/>
        <v>0.47444100000000028</v>
      </c>
      <c r="FY9" s="230">
        <f t="shared" si="168"/>
        <v>0.38145401382939403</v>
      </c>
      <c r="FZ9" s="230">
        <f t="shared" si="169"/>
        <v>0.47444100000000028</v>
      </c>
      <c r="GA9" s="230">
        <f t="shared" si="170"/>
        <v>0.53262300230335868</v>
      </c>
      <c r="GB9" s="230">
        <f t="shared" si="44"/>
        <v>0.46573975403318835</v>
      </c>
      <c r="GC9" s="230">
        <f t="shared" si="45"/>
        <v>6.2527002869748383E-2</v>
      </c>
      <c r="GD9" s="230">
        <f t="shared" si="46"/>
        <v>13.425309376809768</v>
      </c>
      <c r="GF9" s="231">
        <f t="shared" si="171"/>
        <v>6.0709523809523809E-3</v>
      </c>
      <c r="GG9" s="231">
        <f t="shared" si="172"/>
        <v>1.4677737708772311E-2</v>
      </c>
      <c r="GH9" s="231">
        <f t="shared" si="173"/>
        <v>0.06</v>
      </c>
      <c r="GI9" s="231">
        <f t="shared" si="174"/>
        <v>2.4557963999144268E-3</v>
      </c>
      <c r="GJ9" s="245">
        <f t="shared" si="187"/>
        <v>2.0801121622409779E-2</v>
      </c>
      <c r="GK9" s="231">
        <f t="shared" si="188"/>
        <v>2.6630663654366598E-2</v>
      </c>
      <c r="GL9" s="231">
        <f t="shared" si="47"/>
        <v>128.02513315280294</v>
      </c>
      <c r="GN9" s="246">
        <f t="shared" si="175"/>
        <v>4.704326923076925E-2</v>
      </c>
      <c r="GO9" s="246">
        <f t="shared" si="176"/>
        <v>4.704326923076925E-2</v>
      </c>
      <c r="GP9" s="246">
        <f t="shared" si="177"/>
        <v>3.8145401382939398E-2</v>
      </c>
      <c r="GQ9" s="247">
        <f t="shared" si="189"/>
        <v>4.4077313281492635E-2</v>
      </c>
      <c r="GR9" s="246">
        <f t="shared" si="190"/>
        <v>5.1371863971582813E-3</v>
      </c>
      <c r="GS9" s="246">
        <f t="shared" si="48"/>
        <v>11.654944493441493</v>
      </c>
      <c r="GU9" s="249">
        <f t="shared" si="178"/>
        <v>4.9770666566311406E-3</v>
      </c>
      <c r="GV9" s="249">
        <f t="shared" si="179"/>
        <v>4.9770666566311406E-3</v>
      </c>
      <c r="GW9" s="249" t="e">
        <f t="shared" si="180"/>
        <v>#DIV/0!</v>
      </c>
      <c r="GX9" s="249" t="e">
        <f t="shared" si="49"/>
        <v>#DIV/0!</v>
      </c>
      <c r="GZ9" s="240">
        <f t="shared" si="181"/>
        <v>5.4493430547056286E-3</v>
      </c>
      <c r="HA9" s="240">
        <f t="shared" si="182"/>
        <v>5.4493430547056286E-3</v>
      </c>
      <c r="HB9" s="240" t="e">
        <f t="shared" si="183"/>
        <v>#DIV/0!</v>
      </c>
      <c r="HC9" s="240" t="e">
        <f t="shared" si="50"/>
        <v>#DIV/0!</v>
      </c>
      <c r="HE9" s="234">
        <f t="shared" si="184"/>
        <v>2.1185527450332326E-2</v>
      </c>
      <c r="HF9" s="251">
        <f t="shared" si="185"/>
        <v>2.1185527450332326E-2</v>
      </c>
      <c r="HG9" s="234" t="e">
        <f t="shared" si="186"/>
        <v>#DIV/0!</v>
      </c>
      <c r="HH9" s="234" t="e">
        <f t="shared" si="51"/>
        <v>#DIV/0!</v>
      </c>
    </row>
    <row r="10" spans="1:216" ht="15.6" x14ac:dyDescent="0.25">
      <c r="B10">
        <v>6</v>
      </c>
      <c r="C10" s="124">
        <f t="shared" si="52"/>
        <v>20.323292068072668</v>
      </c>
      <c r="D10" s="124">
        <f t="shared" si="53"/>
        <v>117.24082899168677</v>
      </c>
      <c r="E10" s="29">
        <f t="shared" si="54"/>
        <v>0.83284797309575487</v>
      </c>
      <c r="F10" s="29">
        <f t="shared" si="0"/>
        <v>0.81723317267463103</v>
      </c>
      <c r="G10" s="29">
        <f t="shared" si="1"/>
        <v>0.82727756060707014</v>
      </c>
      <c r="H10" s="29">
        <f t="shared" si="2"/>
        <v>0.83284797309575487</v>
      </c>
      <c r="I10" s="29">
        <f t="shared" si="3"/>
        <v>0.8102188977902538</v>
      </c>
      <c r="J10" s="125">
        <f t="shared" si="4"/>
        <v>0.82408511545269292</v>
      </c>
      <c r="K10" s="126">
        <f t="shared" si="5"/>
        <v>1.0037282579274359E-2</v>
      </c>
      <c r="L10" s="126">
        <f t="shared" si="55"/>
        <v>1.2179910049413525</v>
      </c>
      <c r="N10" s="138">
        <f t="shared" si="56"/>
        <v>173.05787424506551</v>
      </c>
      <c r="O10" s="138">
        <f t="shared" si="57"/>
        <v>245.23160000000001</v>
      </c>
      <c r="P10" s="138">
        <f t="shared" si="58"/>
        <v>173.80612635224452</v>
      </c>
      <c r="Q10" s="138">
        <f t="shared" si="59"/>
        <v>149.49686897110334</v>
      </c>
      <c r="R10" s="138">
        <f t="shared" si="60"/>
        <v>173.05787424506551</v>
      </c>
      <c r="S10" s="138">
        <f t="shared" si="61"/>
        <v>234.616204124354</v>
      </c>
      <c r="T10" s="138">
        <f t="shared" si="62"/>
        <v>191.54442465630549</v>
      </c>
      <c r="U10" s="138">
        <f t="shared" si="63"/>
        <v>38.739231383618019</v>
      </c>
      <c r="V10" s="138">
        <f t="shared" si="64"/>
        <v>20.224671876056487</v>
      </c>
      <c r="X10" s="227">
        <f t="shared" si="65"/>
        <v>0.37031748840000001</v>
      </c>
      <c r="Y10" s="227">
        <f t="shared" si="66"/>
        <v>0.40892611506402515</v>
      </c>
      <c r="Z10" s="227">
        <f t="shared" si="67"/>
        <v>0.37031748840000001</v>
      </c>
      <c r="AA10" s="227">
        <f t="shared" si="68"/>
        <v>0.38318703062134168</v>
      </c>
      <c r="AB10" s="227">
        <f t="shared" si="69"/>
        <v>2.229070099751668E-2</v>
      </c>
      <c r="AC10" s="227">
        <f t="shared" si="70"/>
        <v>5.8171856603215621</v>
      </c>
      <c r="AE10" s="228">
        <f t="shared" si="71"/>
        <v>1.5324187423262559</v>
      </c>
      <c r="AF10" s="228">
        <f t="shared" si="72"/>
        <v>1.8859252</v>
      </c>
      <c r="AG10" s="228">
        <f t="shared" si="73"/>
        <v>1.5324187423262559</v>
      </c>
      <c r="AH10" s="228">
        <f t="shared" si="74"/>
        <v>1.8228547413257918</v>
      </c>
      <c r="AI10" s="228">
        <f t="shared" si="75"/>
        <v>1.8859252</v>
      </c>
      <c r="AJ10" s="228">
        <f t="shared" si="76"/>
        <v>1.5191031998819824</v>
      </c>
      <c r="AK10" s="228">
        <f t="shared" si="77"/>
        <v>1.8247202211862898</v>
      </c>
      <c r="AL10" s="228">
        <f t="shared" si="78"/>
        <v>1.7147665781495109</v>
      </c>
      <c r="AM10" s="228">
        <f t="shared" si="79"/>
        <v>0.17661116723719683</v>
      </c>
      <c r="AN10" s="228">
        <f t="shared" si="80"/>
        <v>10.299429058606137</v>
      </c>
      <c r="AP10" s="229">
        <f t="shared" si="81"/>
        <v>1.2500000000000002</v>
      </c>
      <c r="AQ10" s="229">
        <f t="shared" si="82"/>
        <v>1.3107594936708862</v>
      </c>
      <c r="AR10" s="229">
        <f t="shared" si="83"/>
        <v>1.2272148339907438</v>
      </c>
      <c r="AS10" s="229">
        <f t="shared" si="84"/>
        <v>1.1533369326514202</v>
      </c>
      <c r="AT10" s="229">
        <f t="shared" si="85"/>
        <v>1.2500000000000002</v>
      </c>
      <c r="AU10" s="229">
        <f t="shared" si="86"/>
        <v>0.40419807029556903</v>
      </c>
      <c r="AV10" s="229">
        <f t="shared" si="87"/>
        <v>1.3107594936708862</v>
      </c>
      <c r="AW10" s="229">
        <f t="shared" si="88"/>
        <v>1.3715026034879754</v>
      </c>
      <c r="AX10" s="229">
        <f t="shared" si="89"/>
        <v>1.5027377291766955</v>
      </c>
      <c r="AY10" s="229">
        <f t="shared" si="90"/>
        <v>1.1978343507715752</v>
      </c>
      <c r="AZ10" s="229">
        <f t="shared" si="91"/>
        <v>0.31360309241584955</v>
      </c>
      <c r="BA10" s="229">
        <f t="shared" si="92"/>
        <v>26.180839797576745</v>
      </c>
      <c r="BC10" s="230">
        <f t="shared" si="93"/>
        <v>2.4942600000000006</v>
      </c>
      <c r="BD10" s="230">
        <f t="shared" si="94"/>
        <v>7.4077353339907441</v>
      </c>
      <c r="BE10" s="230">
        <f t="shared" si="95"/>
        <v>2.4942600000000006</v>
      </c>
      <c r="BF10" s="230">
        <f t="shared" si="96"/>
        <v>2.7715832591565075</v>
      </c>
      <c r="BG10" s="230">
        <f t="shared" si="97"/>
        <v>3.791959648286813</v>
      </c>
      <c r="BH10" s="230">
        <f t="shared" si="98"/>
        <v>2.4140595504357218</v>
      </c>
      <c r="BI10" s="230">
        <f t="shared" si="99"/>
        <v>63.662585426677232</v>
      </c>
      <c r="BK10" s="227">
        <f t="shared" si="6"/>
        <v>2.3760499999999998</v>
      </c>
      <c r="BL10" s="227">
        <f t="shared" si="7"/>
        <v>8.2074872249519171</v>
      </c>
      <c r="BM10" s="227">
        <f t="shared" si="8"/>
        <v>6.2909942504940233</v>
      </c>
      <c r="BN10" s="227">
        <f t="shared" si="9"/>
        <v>6.4499567448665269</v>
      </c>
      <c r="BO10" s="227">
        <f t="shared" si="10"/>
        <v>2.3760499999999998</v>
      </c>
      <c r="BP10" s="227">
        <f t="shared" si="11"/>
        <v>6.3624539274639016</v>
      </c>
      <c r="BQ10" s="227">
        <f t="shared" si="12"/>
        <v>10.030366327997175</v>
      </c>
      <c r="BR10" s="227">
        <f t="shared" si="100"/>
        <v>6.0133369251105062</v>
      </c>
      <c r="BS10" s="227">
        <f t="shared" si="101"/>
        <v>2.8225327353219765</v>
      </c>
      <c r="BT10" s="227">
        <f t="shared" si="13"/>
        <v>46.937877761940094</v>
      </c>
      <c r="BV10" s="231">
        <f t="shared" si="102"/>
        <v>0.106559324952381</v>
      </c>
      <c r="BW10" s="231">
        <f t="shared" si="103"/>
        <v>0.12485464553032241</v>
      </c>
      <c r="BX10" s="231">
        <f t="shared" si="104"/>
        <v>0.12271026562907889</v>
      </c>
      <c r="BY10" s="231">
        <f t="shared" si="105"/>
        <v>0.106559324952381</v>
      </c>
      <c r="BZ10" s="231">
        <f t="shared" si="106"/>
        <v>0.10442412355916951</v>
      </c>
      <c r="CA10" s="231">
        <f t="shared" si="107"/>
        <v>0.11727878682865839</v>
      </c>
      <c r="CB10" s="231">
        <f t="shared" si="108"/>
        <v>0.1579659933829767</v>
      </c>
      <c r="CC10" s="231">
        <f t="shared" si="109"/>
        <v>0.1833360681197837</v>
      </c>
      <c r="CD10" s="231">
        <f t="shared" si="110"/>
        <v>0.12796106661934395</v>
      </c>
      <c r="CE10" s="231">
        <f t="shared" si="111"/>
        <v>2.825414019519859E-2</v>
      </c>
      <c r="CF10" s="231">
        <f t="shared" si="14"/>
        <v>22.080263115693189</v>
      </c>
      <c r="CH10" s="232">
        <f t="shared" si="112"/>
        <v>0.52510533169154283</v>
      </c>
      <c r="CI10" s="232">
        <f t="shared" si="113"/>
        <v>0.58621561904761876</v>
      </c>
      <c r="CJ10" s="232">
        <f t="shared" si="114"/>
        <v>1.0796497202830146</v>
      </c>
      <c r="CK10" s="232">
        <f t="shared" si="115"/>
        <v>0.59099799689029453</v>
      </c>
      <c r="CL10" s="232">
        <f t="shared" si="116"/>
        <v>0.49652481715834151</v>
      </c>
      <c r="CM10" s="232">
        <f t="shared" si="117"/>
        <v>0.52510533169154283</v>
      </c>
      <c r="CN10" s="232">
        <f t="shared" si="118"/>
        <v>0.52510533169154283</v>
      </c>
      <c r="CO10" s="232">
        <f t="shared" si="119"/>
        <v>0.59293997219180472</v>
      </c>
      <c r="CP10" s="232">
        <f t="shared" si="120"/>
        <v>0.58621561904761876</v>
      </c>
      <c r="CQ10" s="232">
        <f t="shared" si="121"/>
        <v>0.66432346843703594</v>
      </c>
      <c r="CR10" s="232">
        <f t="shared" si="122"/>
        <v>0.61721832081303574</v>
      </c>
      <c r="CS10" s="232">
        <f t="shared" si="123"/>
        <v>0.16973256837333353</v>
      </c>
      <c r="CT10" s="232">
        <f t="shared" si="15"/>
        <v>27.49959984171435</v>
      </c>
      <c r="CV10" s="229">
        <f t="shared" si="16"/>
        <v>0.33584933333333328</v>
      </c>
      <c r="CW10" s="229">
        <f t="shared" si="17"/>
        <v>0.3367430461908989</v>
      </c>
      <c r="CX10" s="229">
        <f t="shared" si="18"/>
        <v>0.13356991805863469</v>
      </c>
      <c r="CY10" s="229">
        <f t="shared" si="19"/>
        <v>0.22358903820069032</v>
      </c>
      <c r="CZ10" s="229">
        <f t="shared" si="20"/>
        <v>0.3592200853441212</v>
      </c>
      <c r="DA10" s="229">
        <f t="shared" si="21"/>
        <v>0.33584933333333328</v>
      </c>
      <c r="DB10" s="229">
        <f t="shared" si="22"/>
        <v>0.13819838606289414</v>
      </c>
      <c r="DC10" s="229">
        <f t="shared" si="23"/>
        <v>0.34072479782710302</v>
      </c>
      <c r="DD10" s="229">
        <f t="shared" si="24"/>
        <v>0.27546799229387608</v>
      </c>
      <c r="DE10" s="229">
        <f t="shared" si="25"/>
        <v>9.5609879065554515E-2</v>
      </c>
      <c r="DF10" s="229">
        <f t="shared" si="26"/>
        <v>34.708162741301543</v>
      </c>
      <c r="DH10" s="234">
        <f t="shared" si="124"/>
        <v>8.879999999999999E-3</v>
      </c>
      <c r="DI10" s="234">
        <f t="shared" si="125"/>
        <v>1.2E-2</v>
      </c>
      <c r="DJ10" s="234">
        <f t="shared" si="126"/>
        <v>3.7683119226745068E-2</v>
      </c>
      <c r="DK10" s="234">
        <f t="shared" si="27"/>
        <v>1.9521039742248354E-2</v>
      </c>
      <c r="DL10" s="234">
        <f t="shared" si="28"/>
        <v>1.5805994065571531E-2</v>
      </c>
      <c r="DM10" s="234">
        <f t="shared" si="29"/>
        <v>80.969017400048898</v>
      </c>
      <c r="DO10" s="229">
        <f t="shared" si="127"/>
        <v>1.3570359999999999</v>
      </c>
      <c r="DP10" s="229">
        <f t="shared" si="128"/>
        <v>1.1717850223970552</v>
      </c>
      <c r="DQ10" s="229">
        <f t="shared" si="129"/>
        <v>0.61127279038430682</v>
      </c>
      <c r="DR10" s="229">
        <f t="shared" si="130"/>
        <v>1.2361276731790392</v>
      </c>
      <c r="DS10" s="229">
        <f t="shared" si="131"/>
        <v>1.3037316465591844</v>
      </c>
      <c r="DT10" s="229">
        <f t="shared" si="132"/>
        <v>1.3570359999999999</v>
      </c>
      <c r="DU10" s="229">
        <f t="shared" si="133"/>
        <v>-9.3594959999999991E-2</v>
      </c>
      <c r="DV10" s="229">
        <f t="shared" si="134"/>
        <v>0.5024539552368833</v>
      </c>
      <c r="DW10" s="229">
        <f t="shared" si="30"/>
        <v>0.93073101596955865</v>
      </c>
      <c r="DX10" s="229">
        <f t="shared" si="31"/>
        <v>0.53300951548434672</v>
      </c>
      <c r="DY10" s="229">
        <f t="shared" si="32"/>
        <v>57.267836392999257</v>
      </c>
      <c r="EA10" s="235">
        <f t="shared" si="135"/>
        <v>5.7710815939278903E-2</v>
      </c>
      <c r="EB10" s="235">
        <f t="shared" si="136"/>
        <v>6.1108059615689818E-2</v>
      </c>
      <c r="EC10" s="235">
        <f t="shared" si="137"/>
        <v>5.7710815939278903E-2</v>
      </c>
      <c r="ED10" s="235">
        <f t="shared" si="138"/>
        <v>4.2678913342952603E-2</v>
      </c>
      <c r="EE10" s="235">
        <f t="shared" si="139"/>
        <v>5.4320861983625138E-2</v>
      </c>
      <c r="EF10" s="235">
        <f t="shared" si="140"/>
        <v>5.4705893364165072E-2</v>
      </c>
      <c r="EG10" s="235">
        <f t="shared" si="141"/>
        <v>7.1386859727765074E-3</v>
      </c>
      <c r="EH10" s="235">
        <f t="shared" si="33"/>
        <v>13.049208291428215</v>
      </c>
      <c r="EJ10" s="229">
        <f t="shared" si="142"/>
        <v>2.8991545851528366</v>
      </c>
      <c r="EK10" s="229">
        <f t="shared" si="143"/>
        <v>5.2191315353898915</v>
      </c>
      <c r="EL10" s="229">
        <f t="shared" si="144"/>
        <v>2.6552655999999981</v>
      </c>
      <c r="EM10" s="229">
        <f t="shared" si="145"/>
        <v>6.6946527173529953</v>
      </c>
      <c r="EN10" s="229">
        <f t="shared" si="146"/>
        <v>5.3014812748468065</v>
      </c>
      <c r="EO10" s="229">
        <f t="shared" si="34"/>
        <v>5.3655636105676718</v>
      </c>
      <c r="EP10" s="229">
        <f t="shared" si="147"/>
        <v>4.4220430448473085</v>
      </c>
      <c r="EQ10" s="229">
        <f t="shared" si="148"/>
        <v>4.6510417668796444</v>
      </c>
      <c r="ER10" s="229">
        <f t="shared" si="149"/>
        <v>1.4455308333554864</v>
      </c>
      <c r="ES10" s="229">
        <f t="shared" si="35"/>
        <v>31.079721615256194</v>
      </c>
      <c r="EU10" s="238">
        <f t="shared" si="150"/>
        <v>4.0648256465777438E-3</v>
      </c>
      <c r="EV10" s="238">
        <f t="shared" si="151"/>
        <v>4.0648256465777438E-3</v>
      </c>
      <c r="EW10" s="238" t="e">
        <f t="shared" si="152"/>
        <v>#DIV/0!</v>
      </c>
      <c r="EX10" s="238" t="e">
        <f t="shared" si="36"/>
        <v>#DIV/0!</v>
      </c>
      <c r="EZ10" s="240">
        <f t="shared" si="153"/>
        <v>6.4995906152659926E-8</v>
      </c>
      <c r="FA10" s="240">
        <f t="shared" si="154"/>
        <v>6.4995906152659926E-8</v>
      </c>
      <c r="FB10" s="240" t="e">
        <f t="shared" si="155"/>
        <v>#DIV/0!</v>
      </c>
      <c r="FC10" s="240" t="e">
        <f t="shared" si="37"/>
        <v>#DIV/0!</v>
      </c>
      <c r="FE10" s="236">
        <f t="shared" si="156"/>
        <v>0.2324443923076922</v>
      </c>
      <c r="FF10" s="236">
        <f t="shared" si="157"/>
        <v>0.39928642525439273</v>
      </c>
      <c r="FG10" s="236">
        <f t="shared" si="158"/>
        <v>0.32298565118900963</v>
      </c>
      <c r="FH10" s="236">
        <f t="shared" si="159"/>
        <v>0.33533431912319905</v>
      </c>
      <c r="FI10" s="236">
        <f t="shared" si="160"/>
        <v>0.9</v>
      </c>
      <c r="FJ10" s="236">
        <f t="shared" si="161"/>
        <v>0.36727375459203582</v>
      </c>
      <c r="FK10" s="236">
        <f t="shared" si="38"/>
        <v>0.42622075707772161</v>
      </c>
      <c r="FL10" s="236">
        <f t="shared" si="39"/>
        <v>0.23880288507144384</v>
      </c>
      <c r="FM10" s="236">
        <f t="shared" si="40"/>
        <v>56.027981065196684</v>
      </c>
      <c r="FO10" s="227">
        <f t="shared" si="162"/>
        <v>9.7106407766990324E-2</v>
      </c>
      <c r="FP10" s="227">
        <f t="shared" si="163"/>
        <v>0.12773598143522213</v>
      </c>
      <c r="FQ10" s="227">
        <f t="shared" si="164"/>
        <v>0.11488920313176088</v>
      </c>
      <c r="FR10" s="227">
        <f t="shared" si="165"/>
        <v>9.7106407766990324E-2</v>
      </c>
      <c r="FS10" s="227">
        <f t="shared" si="166"/>
        <v>9.1454814306327001E-2</v>
      </c>
      <c r="FT10" s="227">
        <f t="shared" si="41"/>
        <v>0.10565856288145811</v>
      </c>
      <c r="FU10" s="227">
        <f t="shared" si="42"/>
        <v>1.5171044107262199E-2</v>
      </c>
      <c r="FV10" s="227">
        <f t="shared" si="43"/>
        <v>14.35855617711089</v>
      </c>
      <c r="FX10" s="230">
        <f t="shared" si="167"/>
        <v>0.54449127360000038</v>
      </c>
      <c r="FY10" s="230">
        <f t="shared" si="168"/>
        <v>0.42678913342952607</v>
      </c>
      <c r="FZ10" s="230">
        <f t="shared" si="169"/>
        <v>0.54449127360000038</v>
      </c>
      <c r="GA10" s="230">
        <f t="shared" si="170"/>
        <v>0.64045115796320484</v>
      </c>
      <c r="GB10" s="230">
        <f t="shared" si="44"/>
        <v>0.53905570964818295</v>
      </c>
      <c r="GC10" s="230">
        <f t="shared" si="45"/>
        <v>8.7452676318513584E-2</v>
      </c>
      <c r="GD10" s="230">
        <f t="shared" si="46"/>
        <v>16.223309530584501</v>
      </c>
      <c r="GF10" s="231">
        <f t="shared" si="171"/>
        <v>6.9340952380952383E-3</v>
      </c>
      <c r="GG10" s="231">
        <f t="shared" si="172"/>
        <v>1.7611268625135332E-2</v>
      </c>
      <c r="GH10" s="231">
        <f t="shared" si="173"/>
        <v>0.06</v>
      </c>
      <c r="GI10" s="231">
        <f t="shared" si="174"/>
        <v>2.2823211449465304E-3</v>
      </c>
      <c r="GJ10" s="245">
        <f t="shared" si="187"/>
        <v>2.1706921252044275E-2</v>
      </c>
      <c r="GK10" s="231">
        <f t="shared" si="188"/>
        <v>2.6322903387205825E-2</v>
      </c>
      <c r="GL10" s="231">
        <f t="shared" si="47"/>
        <v>121.2650245585925</v>
      </c>
      <c r="GN10" s="246">
        <f t="shared" si="175"/>
        <v>5.3033461538461543E-2</v>
      </c>
      <c r="GO10" s="246">
        <f t="shared" si="176"/>
        <v>5.3033461538461543E-2</v>
      </c>
      <c r="GP10" s="246">
        <f t="shared" si="177"/>
        <v>4.2678913342952603E-2</v>
      </c>
      <c r="GQ10" s="247">
        <f t="shared" si="189"/>
        <v>4.9581945473291894E-2</v>
      </c>
      <c r="GR10" s="246">
        <f t="shared" si="190"/>
        <v>5.9782011880140408E-3</v>
      </c>
      <c r="GS10" s="246">
        <f t="shared" si="48"/>
        <v>12.057213832471124</v>
      </c>
      <c r="GU10" s="249">
        <f t="shared" si="178"/>
        <v>5.5685820266519106E-3</v>
      </c>
      <c r="GV10" s="249">
        <f t="shared" si="179"/>
        <v>5.5685820266519106E-3</v>
      </c>
      <c r="GW10" s="249" t="e">
        <f t="shared" si="180"/>
        <v>#DIV/0!</v>
      </c>
      <c r="GX10" s="249" t="e">
        <f t="shared" si="49"/>
        <v>#DIV/0!</v>
      </c>
      <c r="GZ10" s="240">
        <f t="shared" si="181"/>
        <v>6.0969876204218006E-3</v>
      </c>
      <c r="HA10" s="240">
        <f t="shared" si="182"/>
        <v>6.0969876204218006E-3</v>
      </c>
      <c r="HB10" s="240" t="e">
        <f t="shared" si="183"/>
        <v>#DIV/0!</v>
      </c>
      <c r="HC10" s="240" t="e">
        <f t="shared" si="50"/>
        <v>#DIV/0!</v>
      </c>
      <c r="HE10" s="234">
        <f t="shared" si="184"/>
        <v>2.3754517561006473E-2</v>
      </c>
      <c r="HF10" s="251">
        <f t="shared" si="185"/>
        <v>2.3754517561006473E-2</v>
      </c>
      <c r="HG10" s="234" t="e">
        <f t="shared" si="186"/>
        <v>#DIV/0!</v>
      </c>
      <c r="HH10" s="234" t="e">
        <f t="shared" si="51"/>
        <v>#DIV/0!</v>
      </c>
    </row>
    <row r="11" spans="1:216" ht="15.6" x14ac:dyDescent="0.25">
      <c r="B11">
        <v>7</v>
      </c>
      <c r="C11" s="124">
        <f t="shared" si="52"/>
        <v>23.247261541335661</v>
      </c>
      <c r="D11" s="124">
        <f t="shared" si="53"/>
        <v>124.62225024930788</v>
      </c>
      <c r="E11" s="29">
        <f t="shared" si="54"/>
        <v>0.91634534296884973</v>
      </c>
      <c r="F11" s="29">
        <f t="shared" si="0"/>
        <v>0.90444287382672173</v>
      </c>
      <c r="G11" s="29">
        <f t="shared" si="1"/>
        <v>0.90971600001381325</v>
      </c>
      <c r="H11" s="29">
        <f t="shared" si="2"/>
        <v>0.91634534296884973</v>
      </c>
      <c r="I11" s="29">
        <f t="shared" si="3"/>
        <v>0.89229640241990582</v>
      </c>
      <c r="J11" s="125">
        <f t="shared" si="4"/>
        <v>0.90782919243962823</v>
      </c>
      <c r="K11" s="126">
        <f t="shared" si="5"/>
        <v>1.0016790928730946E-2</v>
      </c>
      <c r="L11" s="126">
        <f t="shared" si="55"/>
        <v>1.1033783681060769</v>
      </c>
      <c r="N11" s="138">
        <f t="shared" si="56"/>
        <v>190.64413041232189</v>
      </c>
      <c r="O11" s="138">
        <f t="shared" si="57"/>
        <v>271.29239999999999</v>
      </c>
      <c r="P11" s="138">
        <f t="shared" si="58"/>
        <v>190.18530381592012</v>
      </c>
      <c r="Q11" s="138">
        <f t="shared" si="59"/>
        <v>165.59671670128762</v>
      </c>
      <c r="R11" s="138">
        <f t="shared" si="60"/>
        <v>190.64413041232189</v>
      </c>
      <c r="S11" s="138">
        <f t="shared" si="61"/>
        <v>254.92746864676602</v>
      </c>
      <c r="T11" s="138">
        <f t="shared" si="62"/>
        <v>210.54835833143628</v>
      </c>
      <c r="U11" s="138">
        <f t="shared" si="63"/>
        <v>42.159233112502491</v>
      </c>
      <c r="V11" s="138">
        <f t="shared" si="64"/>
        <v>20.023539222346827</v>
      </c>
      <c r="X11" s="227">
        <f t="shared" si="65"/>
        <v>0.37637269745000002</v>
      </c>
      <c r="Y11" s="227">
        <f t="shared" si="66"/>
        <v>0.41374739117011544</v>
      </c>
      <c r="Z11" s="227">
        <f t="shared" si="67"/>
        <v>0.37637269745000002</v>
      </c>
      <c r="AA11" s="227">
        <f t="shared" si="68"/>
        <v>0.38883092869003849</v>
      </c>
      <c r="AB11" s="227">
        <f t="shared" si="69"/>
        <v>2.1578289480188455E-2</v>
      </c>
      <c r="AC11" s="227">
        <f t="shared" si="70"/>
        <v>5.5495301139971458</v>
      </c>
      <c r="AE11" s="228">
        <f t="shared" si="71"/>
        <v>1.7225054580170758</v>
      </c>
      <c r="AF11" s="228">
        <f t="shared" si="72"/>
        <v>2.0193113999999994</v>
      </c>
      <c r="AG11" s="228">
        <f t="shared" si="73"/>
        <v>1.7225054580170758</v>
      </c>
      <c r="AH11" s="228">
        <f t="shared" si="74"/>
        <v>2.0850902161652178</v>
      </c>
      <c r="AI11" s="228">
        <f t="shared" si="75"/>
        <v>2.0193113999999994</v>
      </c>
      <c r="AJ11" s="228">
        <f t="shared" si="76"/>
        <v>1.751714671295989</v>
      </c>
      <c r="AK11" s="228">
        <f t="shared" si="77"/>
        <v>2.0878030290792093</v>
      </c>
      <c r="AL11" s="228">
        <f t="shared" si="78"/>
        <v>1.9154630903677954</v>
      </c>
      <c r="AM11" s="228">
        <f t="shared" si="79"/>
        <v>0.17384006041070607</v>
      </c>
      <c r="AN11" s="228">
        <f t="shared" si="80"/>
        <v>9.075615253819711</v>
      </c>
      <c r="AP11" s="229">
        <f t="shared" si="81"/>
        <v>1.2735027855153205</v>
      </c>
      <c r="AQ11" s="229">
        <f t="shared" si="82"/>
        <v>1.3284832857537525</v>
      </c>
      <c r="AR11" s="229">
        <f t="shared" si="83"/>
        <v>1.2736866938068645</v>
      </c>
      <c r="AS11" s="229">
        <f t="shared" si="84"/>
        <v>1.2058459963641968</v>
      </c>
      <c r="AT11" s="229">
        <f t="shared" si="85"/>
        <v>1.2735027855153205</v>
      </c>
      <c r="AU11" s="229">
        <f t="shared" si="86"/>
        <v>0.4329043447384881</v>
      </c>
      <c r="AV11" s="229">
        <f t="shared" si="87"/>
        <v>1.3284832857537525</v>
      </c>
      <c r="AW11" s="229">
        <f t="shared" si="88"/>
        <v>1.3994448176860512</v>
      </c>
      <c r="AX11" s="229">
        <f t="shared" si="89"/>
        <v>1.5012220205739946</v>
      </c>
      <c r="AY11" s="229">
        <f t="shared" si="90"/>
        <v>1.2241195573008601</v>
      </c>
      <c r="AZ11" s="229">
        <f t="shared" si="91"/>
        <v>0.30882803483754256</v>
      </c>
      <c r="BA11" s="229">
        <f t="shared" si="92"/>
        <v>25.22858433195017</v>
      </c>
      <c r="BC11" s="230">
        <f t="shared" si="93"/>
        <v>2.5443167</v>
      </c>
      <c r="BD11" s="230">
        <f t="shared" si="94"/>
        <v>8.4184671938068636</v>
      </c>
      <c r="BE11" s="230">
        <f t="shared" si="95"/>
        <v>2.5443167</v>
      </c>
      <c r="BF11" s="230">
        <f t="shared" si="96"/>
        <v>2.776518292804806</v>
      </c>
      <c r="BG11" s="230">
        <f t="shared" si="97"/>
        <v>4.0709047216529175</v>
      </c>
      <c r="BH11" s="230">
        <f t="shared" si="98"/>
        <v>2.9004412108146487</v>
      </c>
      <c r="BI11" s="230">
        <f t="shared" si="99"/>
        <v>71.248074055562199</v>
      </c>
      <c r="BK11" s="227">
        <f t="shared" si="6"/>
        <v>3.0336230769230768</v>
      </c>
      <c r="BL11" s="227">
        <f t="shared" si="7"/>
        <v>9.8045425692275696</v>
      </c>
      <c r="BM11" s="227">
        <f t="shared" si="8"/>
        <v>7.6221785730275213</v>
      </c>
      <c r="BN11" s="227">
        <f t="shared" si="9"/>
        <v>7.6921901510221566</v>
      </c>
      <c r="BO11" s="227">
        <f t="shared" si="10"/>
        <v>3.0336230769230768</v>
      </c>
      <c r="BP11" s="227">
        <f t="shared" si="11"/>
        <v>7.5353753874324951</v>
      </c>
      <c r="BQ11" s="227">
        <f t="shared" si="12"/>
        <v>10.959286482923311</v>
      </c>
      <c r="BR11" s="227">
        <f t="shared" si="100"/>
        <v>7.0972599024970302</v>
      </c>
      <c r="BS11" s="227">
        <f t="shared" si="101"/>
        <v>3.0575683158146592</v>
      </c>
      <c r="BT11" s="227">
        <f t="shared" si="13"/>
        <v>43.080968681151361</v>
      </c>
      <c r="BV11" s="231">
        <f t="shared" si="102"/>
        <v>0.1122215008571429</v>
      </c>
      <c r="BW11" s="231">
        <f t="shared" si="103"/>
        <v>0.13459526265621616</v>
      </c>
      <c r="BX11" s="231">
        <f t="shared" si="104"/>
        <v>0.13680369733458483</v>
      </c>
      <c r="BY11" s="231">
        <f t="shared" si="105"/>
        <v>0.1122215008571429</v>
      </c>
      <c r="BZ11" s="231">
        <f t="shared" si="106"/>
        <v>0.11517600707502279</v>
      </c>
      <c r="CA11" s="231">
        <f t="shared" si="107"/>
        <v>0.13117093027268012</v>
      </c>
      <c r="CB11" s="231">
        <f t="shared" si="108"/>
        <v>0.18476511856546188</v>
      </c>
      <c r="CC11" s="231">
        <f t="shared" si="109"/>
        <v>0.22138415701139305</v>
      </c>
      <c r="CD11" s="231">
        <f t="shared" si="110"/>
        <v>0.14354227182870558</v>
      </c>
      <c r="CE11" s="231">
        <f t="shared" si="111"/>
        <v>3.9286158954341031E-2</v>
      </c>
      <c r="CF11" s="231">
        <f t="shared" si="14"/>
        <v>27.369051955108176</v>
      </c>
      <c r="CH11" s="232">
        <f t="shared" si="112"/>
        <v>0.58315105759868957</v>
      </c>
      <c r="CI11" s="232">
        <f t="shared" si="113"/>
        <v>0.62302904761904798</v>
      </c>
      <c r="CJ11" s="232">
        <f t="shared" si="114"/>
        <v>1.1793957210919408</v>
      </c>
      <c r="CK11" s="232">
        <f t="shared" si="115"/>
        <v>0.65608276045799108</v>
      </c>
      <c r="CL11" s="232">
        <f t="shared" si="116"/>
        <v>0.56941761784835432</v>
      </c>
      <c r="CM11" s="232">
        <f t="shared" si="117"/>
        <v>0.58315105759868957</v>
      </c>
      <c r="CN11" s="232">
        <f t="shared" si="118"/>
        <v>0.58315105759868957</v>
      </c>
      <c r="CO11" s="232">
        <f t="shared" si="119"/>
        <v>0.65723717996976372</v>
      </c>
      <c r="CP11" s="232">
        <f t="shared" si="120"/>
        <v>0.62302904761904798</v>
      </c>
      <c r="CQ11" s="232">
        <f t="shared" si="121"/>
        <v>0.72966322800585204</v>
      </c>
      <c r="CR11" s="232">
        <f t="shared" si="122"/>
        <v>0.67873077754080657</v>
      </c>
      <c r="CS11" s="232">
        <f t="shared" si="123"/>
        <v>0.18251197480741013</v>
      </c>
      <c r="CT11" s="232">
        <f t="shared" si="15"/>
        <v>26.890186926352722</v>
      </c>
      <c r="CV11" s="229">
        <f t="shared" si="16"/>
        <v>0.34832866666666662</v>
      </c>
      <c r="CW11" s="229">
        <f t="shared" si="17"/>
        <v>0.39256669092066482</v>
      </c>
      <c r="CX11" s="229">
        <f t="shared" si="18"/>
        <v>0.15714692897633836</v>
      </c>
      <c r="CY11" s="229">
        <f t="shared" si="19"/>
        <v>0.26775497154390959</v>
      </c>
      <c r="CZ11" s="229">
        <f t="shared" si="20"/>
        <v>0.40780926447155086</v>
      </c>
      <c r="DA11" s="229">
        <f t="shared" si="21"/>
        <v>0.34832866666666662</v>
      </c>
      <c r="DB11" s="229">
        <f t="shared" si="22"/>
        <v>0.15808137848108247</v>
      </c>
      <c r="DC11" s="229">
        <f t="shared" si="23"/>
        <v>0.385192809394029</v>
      </c>
      <c r="DD11" s="229">
        <f t="shared" si="24"/>
        <v>0.30815117214011356</v>
      </c>
      <c r="DE11" s="229">
        <f t="shared" si="25"/>
        <v>0.10224387416277569</v>
      </c>
      <c r="DF11" s="229">
        <f t="shared" si="26"/>
        <v>33.179777786561957</v>
      </c>
      <c r="DH11" s="234">
        <f t="shared" si="124"/>
        <v>1.0359999999999999E-2</v>
      </c>
      <c r="DI11" s="234">
        <f t="shared" si="125"/>
        <v>1.4E-2</v>
      </c>
      <c r="DJ11" s="234">
        <f t="shared" si="126"/>
        <v>4.2943752944964608E-2</v>
      </c>
      <c r="DK11" s="234">
        <f t="shared" si="27"/>
        <v>2.2434584314988199E-2</v>
      </c>
      <c r="DL11" s="234">
        <f t="shared" si="28"/>
        <v>1.7854464383442212E-2</v>
      </c>
      <c r="DM11" s="234">
        <f t="shared" si="29"/>
        <v>79.584556293801796</v>
      </c>
      <c r="DO11" s="229">
        <f t="shared" si="127"/>
        <v>1.4151324000000003</v>
      </c>
      <c r="DP11" s="229">
        <f t="shared" si="128"/>
        <v>1.3655485630252779</v>
      </c>
      <c r="DQ11" s="229">
        <f t="shared" si="129"/>
        <v>0.67372630447178117</v>
      </c>
      <c r="DR11" s="229">
        <f t="shared" si="130"/>
        <v>1.3617437886594423</v>
      </c>
      <c r="DS11" s="229">
        <f t="shared" si="131"/>
        <v>1.4036208749361863</v>
      </c>
      <c r="DT11" s="229">
        <f t="shared" si="132"/>
        <v>1.4151324000000003</v>
      </c>
      <c r="DU11" s="229">
        <f t="shared" si="133"/>
        <v>-0.11372221000000002</v>
      </c>
      <c r="DV11" s="229">
        <f t="shared" si="134"/>
        <v>0.57642445515258622</v>
      </c>
      <c r="DW11" s="229">
        <f t="shared" si="30"/>
        <v>1.0122008220306595</v>
      </c>
      <c r="DX11" s="229">
        <f t="shared" si="31"/>
        <v>0.5728526359339372</v>
      </c>
      <c r="DY11" s="229">
        <f t="shared" si="32"/>
        <v>56.594760986726953</v>
      </c>
      <c r="EA11" s="235">
        <f t="shared" si="135"/>
        <v>6.0687286527514199E-2</v>
      </c>
      <c r="EB11" s="235">
        <f t="shared" si="136"/>
        <v>6.9521232116683332E-2</v>
      </c>
      <c r="EC11" s="235">
        <f t="shared" si="137"/>
        <v>6.0687286527514199E-2</v>
      </c>
      <c r="ED11" s="235">
        <f t="shared" si="138"/>
        <v>4.8819249236804883E-2</v>
      </c>
      <c r="EE11" s="235">
        <f t="shared" si="139"/>
        <v>6.0318932733976496E-2</v>
      </c>
      <c r="EF11" s="235">
        <f t="shared" si="140"/>
        <v>6.0006797428498626E-2</v>
      </c>
      <c r="EG11" s="235">
        <f t="shared" si="141"/>
        <v>7.3605241194816783E-3</v>
      </c>
      <c r="EH11" s="235">
        <f t="shared" si="33"/>
        <v>12.266150561112921</v>
      </c>
      <c r="EJ11" s="229">
        <f t="shared" si="142"/>
        <v>3.0705961790393048</v>
      </c>
      <c r="EK11" s="229">
        <f t="shared" si="143"/>
        <v>5.7738981127732236</v>
      </c>
      <c r="EL11" s="229">
        <f t="shared" si="144"/>
        <v>2.8121761000000016</v>
      </c>
      <c r="EM11" s="229">
        <f t="shared" si="145"/>
        <v>7.3645324770196092</v>
      </c>
      <c r="EN11" s="229">
        <f t="shared" si="146"/>
        <v>5.9180344658408988</v>
      </c>
      <c r="EO11" s="229">
        <f t="shared" si="34"/>
        <v>5.7214180865561852</v>
      </c>
      <c r="EP11" s="229">
        <f t="shared" si="147"/>
        <v>4.8764491648866164</v>
      </c>
      <c r="EQ11" s="229">
        <f t="shared" si="148"/>
        <v>5.0767292265879771</v>
      </c>
      <c r="ER11" s="229">
        <f t="shared" si="149"/>
        <v>1.6348490843211021</v>
      </c>
      <c r="ES11" s="229">
        <f t="shared" si="35"/>
        <v>32.202802461061509</v>
      </c>
      <c r="EU11" s="238">
        <f t="shared" si="150"/>
        <v>4.649477684361158E-3</v>
      </c>
      <c r="EV11" s="238">
        <f t="shared" si="151"/>
        <v>4.649477684361158E-3</v>
      </c>
      <c r="EW11" s="238" t="e">
        <f t="shared" si="152"/>
        <v>#DIV/0!</v>
      </c>
      <c r="EX11" s="238" t="e">
        <f t="shared" si="36"/>
        <v>#DIV/0!</v>
      </c>
      <c r="EZ11" s="240">
        <f t="shared" si="153"/>
        <v>3.0757368096950116E-7</v>
      </c>
      <c r="FA11" s="240">
        <f t="shared" si="154"/>
        <v>3.0757368096950116E-7</v>
      </c>
      <c r="FB11" s="240" t="e">
        <f t="shared" si="155"/>
        <v>#DIV/0!</v>
      </c>
      <c r="FC11" s="240" t="e">
        <f t="shared" si="37"/>
        <v>#DIV/0!</v>
      </c>
      <c r="FE11" s="236">
        <f t="shared" si="156"/>
        <v>0.23990709903846141</v>
      </c>
      <c r="FF11" s="236">
        <f t="shared" si="157"/>
        <v>0.46637684350732905</v>
      </c>
      <c r="FG11" s="236">
        <f t="shared" si="158"/>
        <v>0.37455971294328105</v>
      </c>
      <c r="FH11" s="236">
        <f t="shared" si="159"/>
        <v>0.3835798154320384</v>
      </c>
      <c r="FI11" s="236">
        <f t="shared" si="160"/>
        <v>0.9</v>
      </c>
      <c r="FJ11" s="236">
        <f t="shared" si="161"/>
        <v>0.42660031424449563</v>
      </c>
      <c r="FK11" s="236">
        <f t="shared" si="38"/>
        <v>0.46517063086093424</v>
      </c>
      <c r="FL11" s="236">
        <f t="shared" si="39"/>
        <v>0.22635227540985078</v>
      </c>
      <c r="FM11" s="236">
        <f t="shared" si="40"/>
        <v>48.660052976887151</v>
      </c>
      <c r="FO11" s="227">
        <f t="shared" si="162"/>
        <v>0.1044149514563107</v>
      </c>
      <c r="FP11" s="227">
        <f t="shared" si="163"/>
        <v>0.14468157019733122</v>
      </c>
      <c r="FQ11" s="227">
        <f t="shared" si="164"/>
        <v>0.13097991156980671</v>
      </c>
      <c r="FR11" s="227">
        <f t="shared" si="165"/>
        <v>0.1044149514563107</v>
      </c>
      <c r="FS11" s="227">
        <f t="shared" si="166"/>
        <v>0.10461267693601047</v>
      </c>
      <c r="FT11" s="227">
        <f t="shared" si="41"/>
        <v>0.11782081232315396</v>
      </c>
      <c r="FU11" s="227">
        <f t="shared" si="42"/>
        <v>1.8898090235033367E-2</v>
      </c>
      <c r="FV11" s="227">
        <f t="shared" si="43"/>
        <v>16.039687609011285</v>
      </c>
      <c r="FX11" s="230">
        <f t="shared" si="167"/>
        <v>0.6365115144000002</v>
      </c>
      <c r="FY11" s="230">
        <f t="shared" si="168"/>
        <v>0.4881924923680489</v>
      </c>
      <c r="FZ11" s="230">
        <f t="shared" si="169"/>
        <v>0.6365115144000002</v>
      </c>
      <c r="GA11" s="230">
        <f t="shared" si="170"/>
        <v>0.77813110629125282</v>
      </c>
      <c r="GB11" s="230">
        <f t="shared" si="44"/>
        <v>0.6348366568648256</v>
      </c>
      <c r="GC11" s="230">
        <f t="shared" si="45"/>
        <v>0.11838274158128871</v>
      </c>
      <c r="GD11" s="230">
        <f t="shared" si="46"/>
        <v>18.647748251641318</v>
      </c>
      <c r="GF11" s="231">
        <f t="shared" si="171"/>
        <v>7.9719047619047616E-3</v>
      </c>
      <c r="GG11" s="231">
        <f t="shared" si="172"/>
        <v>2.0544558470204703E-2</v>
      </c>
      <c r="GH11" s="231">
        <f t="shared" si="173"/>
        <v>0.06</v>
      </c>
      <c r="GI11" s="231">
        <f t="shared" si="174"/>
        <v>2.3854756655207689E-3</v>
      </c>
      <c r="GJ11" s="245">
        <f t="shared" si="187"/>
        <v>2.2725484724407559E-2</v>
      </c>
      <c r="GK11" s="231">
        <f t="shared" si="188"/>
        <v>2.5984161961870839E-2</v>
      </c>
      <c r="GL11" s="231">
        <f t="shared" si="47"/>
        <v>114.33930794868108</v>
      </c>
      <c r="GN11" s="246">
        <f t="shared" si="175"/>
        <v>5.991692307692309E-2</v>
      </c>
      <c r="GO11" s="246">
        <f t="shared" si="176"/>
        <v>5.991692307692309E-2</v>
      </c>
      <c r="GP11" s="246">
        <f t="shared" si="177"/>
        <v>4.8819249236804883E-2</v>
      </c>
      <c r="GQ11" s="247">
        <f t="shared" si="189"/>
        <v>5.6217698463550354E-2</v>
      </c>
      <c r="GR11" s="246">
        <f t="shared" si="190"/>
        <v>6.4072449789709142E-3</v>
      </c>
      <c r="GS11" s="246">
        <f t="shared" si="48"/>
        <v>11.397202578695309</v>
      </c>
      <c r="GU11" s="249">
        <f t="shared" si="178"/>
        <v>6.369749662325971E-3</v>
      </c>
      <c r="GV11" s="249">
        <f t="shared" si="179"/>
        <v>6.369749662325971E-3</v>
      </c>
      <c r="GW11" s="249" t="e">
        <f t="shared" si="180"/>
        <v>#DIV/0!</v>
      </c>
      <c r="GX11" s="249" t="e">
        <f t="shared" si="49"/>
        <v>#DIV/0!</v>
      </c>
      <c r="GZ11" s="240">
        <f t="shared" si="181"/>
        <v>6.9741784624006986E-3</v>
      </c>
      <c r="HA11" s="240">
        <f t="shared" si="182"/>
        <v>6.9741784624006986E-3</v>
      </c>
      <c r="HB11" s="240" t="e">
        <f t="shared" si="183"/>
        <v>#DIV/0!</v>
      </c>
      <c r="HC11" s="240" t="e">
        <f t="shared" si="50"/>
        <v>#DIV/0!</v>
      </c>
      <c r="HE11" s="234">
        <f t="shared" si="184"/>
        <v>2.7234041234189436E-2</v>
      </c>
      <c r="HF11" s="251">
        <f t="shared" si="185"/>
        <v>2.7234041234189436E-2</v>
      </c>
      <c r="HG11" s="234" t="e">
        <f t="shared" si="186"/>
        <v>#DIV/0!</v>
      </c>
      <c r="HH11" s="234" t="e">
        <f t="shared" si="51"/>
        <v>#DIV/0!</v>
      </c>
    </row>
    <row r="12" spans="1:216" ht="15.6" x14ac:dyDescent="0.25">
      <c r="B12">
        <v>8</v>
      </c>
      <c r="C12" s="124">
        <f t="shared" si="52"/>
        <v>26.906969891397324</v>
      </c>
      <c r="D12" s="124">
        <f t="shared" si="53"/>
        <v>131.52961204210021</v>
      </c>
      <c r="E12" s="29">
        <f t="shared" si="54"/>
        <v>1.0113821199188291</v>
      </c>
      <c r="F12" s="29">
        <f t="shared" si="0"/>
        <v>1.0008083645668853</v>
      </c>
      <c r="G12" s="29">
        <f t="shared" si="1"/>
        <v>1.0034397904394563</v>
      </c>
      <c r="H12" s="29">
        <f t="shared" si="2"/>
        <v>1.0113821199188291</v>
      </c>
      <c r="I12" s="29">
        <f t="shared" si="3"/>
        <v>0.98614893970816075</v>
      </c>
      <c r="J12" s="125">
        <f t="shared" si="4"/>
        <v>1.0026322669104322</v>
      </c>
      <c r="K12" s="126">
        <f t="shared" si="5"/>
        <v>1.035372692564095E-2</v>
      </c>
      <c r="L12" s="126">
        <f t="shared" si="55"/>
        <v>1.0326544703718255</v>
      </c>
      <c r="N12" s="138">
        <f t="shared" si="56"/>
        <v>210.55277605119073</v>
      </c>
      <c r="O12" s="138">
        <f t="shared" si="57"/>
        <v>295.42840000000001</v>
      </c>
      <c r="P12" s="138">
        <f t="shared" si="58"/>
        <v>208.9386901168983</v>
      </c>
      <c r="Q12" s="138">
        <f t="shared" si="59"/>
        <v>185.0817250574209</v>
      </c>
      <c r="R12" s="138">
        <f t="shared" si="60"/>
        <v>210.55277605119073</v>
      </c>
      <c r="S12" s="138">
        <f t="shared" si="61"/>
        <v>272.72172333242963</v>
      </c>
      <c r="T12" s="138">
        <f t="shared" si="62"/>
        <v>230.5460151015217</v>
      </c>
      <c r="U12" s="138">
        <f t="shared" si="63"/>
        <v>43.178354791598089</v>
      </c>
      <c r="V12" s="138">
        <f t="shared" si="64"/>
        <v>18.728736114820443</v>
      </c>
      <c r="X12" s="227">
        <f t="shared" si="65"/>
        <v>0.38213056480000002</v>
      </c>
      <c r="Y12" s="227">
        <f t="shared" si="66"/>
        <v>0.41856867047226476</v>
      </c>
      <c r="Z12" s="227">
        <f t="shared" si="67"/>
        <v>0.38213056480000002</v>
      </c>
      <c r="AA12" s="227">
        <f t="shared" si="68"/>
        <v>0.39427660002408826</v>
      </c>
      <c r="AB12" s="227">
        <f t="shared" si="69"/>
        <v>2.1037550118642077E-2</v>
      </c>
      <c r="AC12" s="227">
        <f t="shared" si="70"/>
        <v>5.3357338775257759</v>
      </c>
      <c r="AE12" s="228">
        <f t="shared" si="71"/>
        <v>1.9421348179644362</v>
      </c>
      <c r="AF12" s="228">
        <f t="shared" si="72"/>
        <v>2.1444535999999985</v>
      </c>
      <c r="AG12" s="228">
        <f t="shared" si="73"/>
        <v>1.9421348179644362</v>
      </c>
      <c r="AH12" s="228">
        <f t="shared" si="74"/>
        <v>2.4133018172383611</v>
      </c>
      <c r="AI12" s="228">
        <f t="shared" si="75"/>
        <v>2.1444535999999985</v>
      </c>
      <c r="AJ12" s="228">
        <f t="shared" si="76"/>
        <v>2.036477768076336</v>
      </c>
      <c r="AK12" s="228">
        <f t="shared" si="77"/>
        <v>2.3856277818978673</v>
      </c>
      <c r="AL12" s="228">
        <f t="shared" si="78"/>
        <v>2.1440834575916332</v>
      </c>
      <c r="AM12" s="228">
        <f t="shared" si="79"/>
        <v>0.19320453337367999</v>
      </c>
      <c r="AN12" s="228">
        <f t="shared" si="80"/>
        <v>9.0110547091622646</v>
      </c>
      <c r="AP12" s="229">
        <f t="shared" si="81"/>
        <v>1.2919515226848974</v>
      </c>
      <c r="AQ12" s="229">
        <f t="shared" si="82"/>
        <v>1.3422127798659911</v>
      </c>
      <c r="AR12" s="229">
        <f t="shared" si="83"/>
        <v>1.304277219685879</v>
      </c>
      <c r="AS12" s="229">
        <f t="shared" si="84"/>
        <v>1.2518570140507215</v>
      </c>
      <c r="AT12" s="229">
        <f t="shared" si="85"/>
        <v>1.2919515226848974</v>
      </c>
      <c r="AU12" s="229">
        <f t="shared" si="86"/>
        <v>0.44482265809956933</v>
      </c>
      <c r="AV12" s="229">
        <f t="shared" si="87"/>
        <v>1.3422127798659911</v>
      </c>
      <c r="AW12" s="229">
        <f t="shared" si="88"/>
        <v>1.4174406213153188</v>
      </c>
      <c r="AX12" s="229">
        <f t="shared" si="89"/>
        <v>1.4991201131232039</v>
      </c>
      <c r="AY12" s="229">
        <f t="shared" si="90"/>
        <v>1.2428718034862745</v>
      </c>
      <c r="AZ12" s="229">
        <f t="shared" si="91"/>
        <v>0.30850975730100044</v>
      </c>
      <c r="BA12" s="229">
        <f t="shared" si="92"/>
        <v>24.822331348705944</v>
      </c>
      <c r="BC12" s="230">
        <f t="shared" si="93"/>
        <v>2.7023312000000002</v>
      </c>
      <c r="BD12" s="230">
        <f t="shared" si="94"/>
        <v>9.4133177196858782</v>
      </c>
      <c r="BE12" s="230">
        <f t="shared" si="95"/>
        <v>2.7023312000000002</v>
      </c>
      <c r="BF12" s="230">
        <f t="shared" si="96"/>
        <v>2.7898948931297527</v>
      </c>
      <c r="BG12" s="230">
        <f t="shared" si="97"/>
        <v>4.4019687532039073</v>
      </c>
      <c r="BH12" s="230">
        <f t="shared" si="98"/>
        <v>3.341154302468746</v>
      </c>
      <c r="BI12" s="230">
        <f t="shared" si="99"/>
        <v>75.9013634532716</v>
      </c>
      <c r="BK12" s="227">
        <f t="shared" si="6"/>
        <v>3.8222961538461537</v>
      </c>
      <c r="BL12" s="227">
        <f t="shared" si="7"/>
        <v>11.458210875339784</v>
      </c>
      <c r="BM12" s="227">
        <f t="shared" si="8"/>
        <v>9.1887011690739833</v>
      </c>
      <c r="BN12" s="227">
        <f t="shared" si="9"/>
        <v>9.2539157804222647</v>
      </c>
      <c r="BO12" s="227">
        <f t="shared" si="10"/>
        <v>3.8222961538461537</v>
      </c>
      <c r="BP12" s="227">
        <f t="shared" si="11"/>
        <v>8.98051391406851</v>
      </c>
      <c r="BQ12" s="227">
        <f t="shared" si="12"/>
        <v>11.637361426275987</v>
      </c>
      <c r="BR12" s="227">
        <f t="shared" si="100"/>
        <v>8.3090422104104054</v>
      </c>
      <c r="BS12" s="227">
        <f t="shared" si="101"/>
        <v>3.2499798109819236</v>
      </c>
      <c r="BT12" s="227">
        <f t="shared" si="13"/>
        <v>39.113771824507296</v>
      </c>
      <c r="BV12" s="231">
        <f t="shared" si="102"/>
        <v>0.12000800152380954</v>
      </c>
      <c r="BW12" s="231">
        <f t="shared" si="103"/>
        <v>0.14691170158978206</v>
      </c>
      <c r="BX12" s="231">
        <f t="shared" si="104"/>
        <v>0.15339692403129093</v>
      </c>
      <c r="BY12" s="231">
        <f t="shared" si="105"/>
        <v>0.12000800152380954</v>
      </c>
      <c r="BZ12" s="231">
        <f t="shared" si="106"/>
        <v>0.12933169889628071</v>
      </c>
      <c r="CA12" s="231">
        <f t="shared" si="107"/>
        <v>0.14667866811002514</v>
      </c>
      <c r="CB12" s="231">
        <f t="shared" si="108"/>
        <v>0.21167570464229613</v>
      </c>
      <c r="CC12" s="231">
        <f t="shared" si="109"/>
        <v>0.25697833397859859</v>
      </c>
      <c r="CD12" s="231">
        <f t="shared" si="110"/>
        <v>0.16062362928698659</v>
      </c>
      <c r="CE12" s="231">
        <f t="shared" si="111"/>
        <v>4.8702729508894232E-2</v>
      </c>
      <c r="CF12" s="231">
        <f t="shared" si="14"/>
        <v>30.321024201163425</v>
      </c>
      <c r="CH12" s="232">
        <f t="shared" si="112"/>
        <v>0.65359030378406757</v>
      </c>
      <c r="CI12" s="232">
        <f t="shared" si="113"/>
        <v>0.6752152380952382</v>
      </c>
      <c r="CJ12" s="232">
        <f t="shared" si="114"/>
        <v>1.2749739937204259</v>
      </c>
      <c r="CK12" s="232">
        <f t="shared" si="115"/>
        <v>0.74080483375528727</v>
      </c>
      <c r="CL12" s="232">
        <f t="shared" si="116"/>
        <v>0.66177740705347088</v>
      </c>
      <c r="CM12" s="232">
        <f t="shared" si="117"/>
        <v>0.65359030378406757</v>
      </c>
      <c r="CN12" s="232">
        <f t="shared" si="118"/>
        <v>0.65359030378406757</v>
      </c>
      <c r="CO12" s="232">
        <f t="shared" si="119"/>
        <v>0.73449343753706164</v>
      </c>
      <c r="CP12" s="232">
        <f t="shared" si="120"/>
        <v>0.6752152380952382</v>
      </c>
      <c r="CQ12" s="232">
        <f t="shared" si="121"/>
        <v>0.79863463228982123</v>
      </c>
      <c r="CR12" s="232">
        <f t="shared" si="122"/>
        <v>0.75218856918987465</v>
      </c>
      <c r="CS12" s="232">
        <f t="shared" si="123"/>
        <v>0.19005653061283651</v>
      </c>
      <c r="CT12" s="232">
        <f t="shared" si="15"/>
        <v>25.267138906076703</v>
      </c>
      <c r="CV12" s="229">
        <f t="shared" si="16"/>
        <v>0.36295638095238097</v>
      </c>
      <c r="CW12" s="229">
        <f t="shared" si="17"/>
        <v>0.44838412348271833</v>
      </c>
      <c r="CX12" s="229">
        <f t="shared" si="18"/>
        <v>0.187204530837633</v>
      </c>
      <c r="CY12" s="229">
        <f t="shared" si="19"/>
        <v>0.30833912746045483</v>
      </c>
      <c r="CZ12" s="229">
        <f t="shared" si="20"/>
        <v>0.46752832117247667</v>
      </c>
      <c r="DA12" s="229">
        <f t="shared" si="21"/>
        <v>0.36295638095238097</v>
      </c>
      <c r="DB12" s="229">
        <f t="shared" si="22"/>
        <v>0.1829673952615018</v>
      </c>
      <c r="DC12" s="229">
        <f t="shared" si="23"/>
        <v>0.43523327650523119</v>
      </c>
      <c r="DD12" s="229">
        <f t="shared" si="24"/>
        <v>0.34444619207809724</v>
      </c>
      <c r="DE12" s="229">
        <f t="shared" si="25"/>
        <v>0.11147319660956231</v>
      </c>
      <c r="DF12" s="229">
        <f t="shared" si="26"/>
        <v>32.363021909758167</v>
      </c>
      <c r="DH12" s="234">
        <f t="shared" si="124"/>
        <v>1.184E-2</v>
      </c>
      <c r="DI12" s="234">
        <f t="shared" si="125"/>
        <v>1.6E-2</v>
      </c>
      <c r="DJ12" s="234">
        <f t="shared" si="126"/>
        <v>4.8863616669126267E-2</v>
      </c>
      <c r="DK12" s="234">
        <f t="shared" si="27"/>
        <v>2.556787222304209E-2</v>
      </c>
      <c r="DL12" s="234">
        <f t="shared" si="28"/>
        <v>2.0281646431514044E-2</v>
      </c>
      <c r="DM12" s="234">
        <f t="shared" si="29"/>
        <v>79.324733222172341</v>
      </c>
      <c r="DO12" s="229">
        <f t="shared" si="127"/>
        <v>1.4699712000000003</v>
      </c>
      <c r="DP12" s="229">
        <f t="shared" si="128"/>
        <v>1.5592855081171655</v>
      </c>
      <c r="DQ12" s="229">
        <f t="shared" si="129"/>
        <v>0.74446459716285573</v>
      </c>
      <c r="DR12" s="229">
        <f t="shared" si="130"/>
        <v>1.5039484003656483</v>
      </c>
      <c r="DS12" s="229">
        <f t="shared" si="131"/>
        <v>1.5113970730897281</v>
      </c>
      <c r="DT12" s="229">
        <f t="shared" si="132"/>
        <v>1.4699712000000003</v>
      </c>
      <c r="DU12" s="229">
        <f t="shared" si="133"/>
        <v>-0.13041695999999997</v>
      </c>
      <c r="DV12" s="229">
        <f t="shared" si="134"/>
        <v>0.67338776175924031</v>
      </c>
      <c r="DW12" s="229">
        <f t="shared" si="30"/>
        <v>1.1002510975618298</v>
      </c>
      <c r="DX12" s="229">
        <f t="shared" si="31"/>
        <v>0.61405574817568531</v>
      </c>
      <c r="DY12" s="229">
        <f t="shared" si="32"/>
        <v>55.810509940543618</v>
      </c>
      <c r="EA12" s="235">
        <f t="shared" si="135"/>
        <v>6.4612144212523717E-2</v>
      </c>
      <c r="EB12" s="235">
        <f t="shared" si="136"/>
        <v>7.9917149451097014E-2</v>
      </c>
      <c r="EC12" s="235">
        <f t="shared" si="137"/>
        <v>6.4612144212523717E-2</v>
      </c>
      <c r="ED12" s="235">
        <f t="shared" si="138"/>
        <v>5.6504636771934375E-2</v>
      </c>
      <c r="EE12" s="235">
        <f t="shared" si="139"/>
        <v>6.706864452763045E-2</v>
      </c>
      <c r="EF12" s="235">
        <f t="shared" si="140"/>
        <v>6.6542943835141838E-2</v>
      </c>
      <c r="EG12" s="235">
        <f t="shared" si="141"/>
        <v>8.4759854904397844E-3</v>
      </c>
      <c r="EH12" s="235">
        <f t="shared" si="33"/>
        <v>12.737617246749386</v>
      </c>
      <c r="EJ12" s="229">
        <f t="shared" si="142"/>
        <v>3.4721414847161571</v>
      </c>
      <c r="EK12" s="229">
        <f t="shared" si="143"/>
        <v>6.6105177315145678</v>
      </c>
      <c r="EL12" s="229">
        <f t="shared" si="144"/>
        <v>3.1798416000000005</v>
      </c>
      <c r="EM12" s="229">
        <f t="shared" si="145"/>
        <v>8.004651371140632</v>
      </c>
      <c r="EN12" s="229">
        <f t="shared" si="146"/>
        <v>6.605941073576604</v>
      </c>
      <c r="EO12" s="229">
        <f t="shared" si="34"/>
        <v>6.3882621399493509</v>
      </c>
      <c r="EP12" s="229">
        <f t="shared" si="147"/>
        <v>5.2907961501451375</v>
      </c>
      <c r="EQ12" s="229">
        <f t="shared" si="148"/>
        <v>5.6503073644346369</v>
      </c>
      <c r="ER12" s="229">
        <f t="shared" si="149"/>
        <v>1.7748055618258047</v>
      </c>
      <c r="ES12" s="229">
        <f t="shared" si="35"/>
        <v>31.410779048891435</v>
      </c>
      <c r="EU12" s="238">
        <f t="shared" ref="EU12:EU68" si="191">(2 * 10^(-4) + (1.71*10^(-3) - 2 * 10^(-4)) * EXP(-2.02 * B12)) * C12</f>
        <v>5.3813978744944521E-3</v>
      </c>
      <c r="EV12" s="238">
        <f t="shared" si="151"/>
        <v>5.3813978744944521E-3</v>
      </c>
      <c r="EW12" s="238" t="e">
        <f t="shared" si="152"/>
        <v>#DIV/0!</v>
      </c>
      <c r="EX12" s="238" t="e">
        <f t="shared" si="36"/>
        <v>#DIV/0!</v>
      </c>
      <c r="EZ12" s="240">
        <f t="shared" si="153"/>
        <v>1.4726095820112648E-6</v>
      </c>
      <c r="FA12" s="240">
        <f t="shared" si="154"/>
        <v>1.4726095820112648E-6</v>
      </c>
      <c r="FB12" s="240" t="e">
        <f t="shared" si="155"/>
        <v>#DIV/0!</v>
      </c>
      <c r="FC12" s="240" t="e">
        <f t="shared" si="37"/>
        <v>#DIV/0!</v>
      </c>
      <c r="FE12" s="236">
        <f t="shared" si="156"/>
        <v>0.25494093076923074</v>
      </c>
      <c r="FF12" s="236">
        <f t="shared" si="157"/>
        <v>0.53364637183749031</v>
      </c>
      <c r="FG12" s="236">
        <f t="shared" si="158"/>
        <v>0.43876633248720176</v>
      </c>
      <c r="FH12" s="236">
        <f t="shared" si="159"/>
        <v>0.44396500320805588</v>
      </c>
      <c r="FI12" s="236">
        <f t="shared" si="160"/>
        <v>0.9</v>
      </c>
      <c r="FJ12" s="236">
        <f t="shared" si="161"/>
        <v>0.49682191588575325</v>
      </c>
      <c r="FK12" s="236">
        <f t="shared" si="38"/>
        <v>0.51135675903128863</v>
      </c>
      <c r="FL12" s="236">
        <f t="shared" si="39"/>
        <v>0.21321902026652659</v>
      </c>
      <c r="FM12" s="236">
        <f t="shared" si="40"/>
        <v>41.696724742711424</v>
      </c>
      <c r="FO12" s="227">
        <f t="shared" si="162"/>
        <v>0.11366873786407769</v>
      </c>
      <c r="FP12" s="227">
        <f t="shared" si="163"/>
        <v>0.16135722137918765</v>
      </c>
      <c r="FQ12" s="227">
        <f t="shared" si="164"/>
        <v>0.14928462203195919</v>
      </c>
      <c r="FR12" s="227">
        <f t="shared" si="165"/>
        <v>0.11366873786407769</v>
      </c>
      <c r="FS12" s="227">
        <f t="shared" si="166"/>
        <v>0.12108136451128795</v>
      </c>
      <c r="FT12" s="227">
        <f t="shared" si="41"/>
        <v>0.13181213673011802</v>
      </c>
      <c r="FU12" s="227">
        <f t="shared" si="42"/>
        <v>2.2089109798612557E-2</v>
      </c>
      <c r="FV12" s="227">
        <f t="shared" si="43"/>
        <v>16.758024220364049</v>
      </c>
      <c r="FX12" s="230">
        <f t="shared" si="167"/>
        <v>0.76775264640000063</v>
      </c>
      <c r="FY12" s="230">
        <f t="shared" si="168"/>
        <v>0.5650463677193438</v>
      </c>
      <c r="FZ12" s="230">
        <f t="shared" si="169"/>
        <v>0.76775264640000063</v>
      </c>
      <c r="GA12" s="230">
        <f t="shared" si="170"/>
        <v>0.94774928942517456</v>
      </c>
      <c r="GB12" s="230">
        <f t="shared" si="44"/>
        <v>0.76207523748612993</v>
      </c>
      <c r="GC12" s="230">
        <f t="shared" si="45"/>
        <v>0.15637529113108073</v>
      </c>
      <c r="GD12" s="230">
        <f t="shared" si="46"/>
        <v>20.519665702158026</v>
      </c>
      <c r="GF12" s="231">
        <f t="shared" si="171"/>
        <v>9.3203809523809515E-3</v>
      </c>
      <c r="GG12" s="231">
        <f t="shared" si="172"/>
        <v>2.3477641972518209E-2</v>
      </c>
      <c r="GH12" s="231">
        <f t="shared" si="173"/>
        <v>0.06</v>
      </c>
      <c r="GI12" s="231">
        <f t="shared" si="174"/>
        <v>2.8312977458890371E-3</v>
      </c>
      <c r="GJ12" s="245">
        <f t="shared" si="187"/>
        <v>2.3907330167697052E-2</v>
      </c>
      <c r="GK12" s="231">
        <f t="shared" si="188"/>
        <v>2.5559366695492938E-2</v>
      </c>
      <c r="GL12" s="231">
        <f t="shared" si="47"/>
        <v>106.9101673679484</v>
      </c>
      <c r="GN12" s="246">
        <f t="shared" si="175"/>
        <v>6.7674615384615389E-2</v>
      </c>
      <c r="GO12" s="246">
        <f t="shared" si="176"/>
        <v>6.7674615384615389E-2</v>
      </c>
      <c r="GP12" s="246">
        <f t="shared" si="177"/>
        <v>5.6504636771934375E-2</v>
      </c>
      <c r="GQ12" s="247">
        <f t="shared" si="189"/>
        <v>6.3951289180388379E-2</v>
      </c>
      <c r="GR12" s="246">
        <f t="shared" si="190"/>
        <v>6.4489901588737457E-3</v>
      </c>
      <c r="GS12" s="246">
        <f t="shared" si="48"/>
        <v>10.084222290942376</v>
      </c>
      <c r="GU12" s="249">
        <f t="shared" si="178"/>
        <v>7.3725097502428663E-3</v>
      </c>
      <c r="GV12" s="249">
        <f t="shared" si="179"/>
        <v>7.3725097502428663E-3</v>
      </c>
      <c r="GW12" s="249" t="e">
        <f t="shared" si="180"/>
        <v>#DIV/0!</v>
      </c>
      <c r="GX12" s="249" t="e">
        <f t="shared" si="49"/>
        <v>#DIV/0!</v>
      </c>
      <c r="GZ12" s="240">
        <f t="shared" si="181"/>
        <v>8.0720909674191973E-3</v>
      </c>
      <c r="HA12" s="240">
        <f t="shared" si="182"/>
        <v>8.0720909674191973E-3</v>
      </c>
      <c r="HB12" s="240" t="e">
        <f t="shared" si="183"/>
        <v>#DIV/0!</v>
      </c>
      <c r="HC12" s="240" t="e">
        <f t="shared" si="50"/>
        <v>#DIV/0!</v>
      </c>
      <c r="HE12" s="234">
        <f t="shared" si="184"/>
        <v>3.1589094170762812E-2</v>
      </c>
      <c r="HF12" s="251">
        <f t="shared" si="185"/>
        <v>3.1589094170762812E-2</v>
      </c>
      <c r="HG12" s="234" t="e">
        <f t="shared" si="186"/>
        <v>#DIV/0!</v>
      </c>
      <c r="HH12" s="234" t="e">
        <f t="shared" si="51"/>
        <v>#DIV/0!</v>
      </c>
    </row>
    <row r="13" spans="1:216" ht="15.6" x14ac:dyDescent="0.25">
      <c r="B13">
        <v>9</v>
      </c>
      <c r="C13" s="124">
        <f t="shared" si="52"/>
        <v>31.177003478033033</v>
      </c>
      <c r="D13" s="124">
        <f t="shared" si="53"/>
        <v>137.95268609749291</v>
      </c>
      <c r="E13" s="29">
        <f t="shared" si="54"/>
        <v>1.1139770243820879</v>
      </c>
      <c r="F13" s="29">
        <f t="shared" si="0"/>
        <v>1.1029359642586123</v>
      </c>
      <c r="G13" s="29">
        <f t="shared" si="1"/>
        <v>1.1045206658735274</v>
      </c>
      <c r="H13" s="29">
        <f t="shared" si="2"/>
        <v>1.1139770243820879</v>
      </c>
      <c r="I13" s="29">
        <f t="shared" si="3"/>
        <v>1.0878110259406406</v>
      </c>
      <c r="J13" s="125">
        <f t="shared" si="4"/>
        <v>1.1046443409673912</v>
      </c>
      <c r="K13" s="126">
        <f t="shared" si="5"/>
        <v>1.0729542170284777E-2</v>
      </c>
      <c r="L13" s="126">
        <f t="shared" si="55"/>
        <v>0.97131192116445297</v>
      </c>
      <c r="N13" s="138">
        <f t="shared" si="56"/>
        <v>231.97531160315216</v>
      </c>
      <c r="O13" s="138">
        <f t="shared" si="57"/>
        <v>317.71159999999998</v>
      </c>
      <c r="P13" s="138">
        <f t="shared" si="58"/>
        <v>229.2397456845099</v>
      </c>
      <c r="Q13" s="138">
        <f t="shared" si="59"/>
        <v>207.03224479796884</v>
      </c>
      <c r="R13" s="138">
        <f t="shared" si="60"/>
        <v>231.97531160315216</v>
      </c>
      <c r="S13" s="138">
        <f t="shared" si="61"/>
        <v>288.31088074155497</v>
      </c>
      <c r="T13" s="138">
        <f t="shared" si="62"/>
        <v>251.04084907172299</v>
      </c>
      <c r="U13" s="138">
        <f t="shared" si="63"/>
        <v>42.362906149048264</v>
      </c>
      <c r="V13" s="138">
        <f t="shared" si="64"/>
        <v>16.874905540550127</v>
      </c>
      <c r="X13" s="227">
        <f t="shared" si="65"/>
        <v>0.38759785935000002</v>
      </c>
      <c r="Y13" s="227">
        <f t="shared" si="66"/>
        <v>0.42338995221546305</v>
      </c>
      <c r="Z13" s="227">
        <f t="shared" si="67"/>
        <v>0.38759785935000002</v>
      </c>
      <c r="AA13" s="227">
        <f t="shared" si="68"/>
        <v>0.39952855697182105</v>
      </c>
      <c r="AB13" s="227">
        <f t="shared" si="69"/>
        <v>2.0664574450735166E-2</v>
      </c>
      <c r="AC13" s="227">
        <f t="shared" si="70"/>
        <v>5.1722396534955699</v>
      </c>
      <c r="AE13" s="228">
        <f t="shared" si="71"/>
        <v>2.1833400972719321</v>
      </c>
      <c r="AF13" s="228">
        <f t="shared" si="72"/>
        <v>2.3015847999999988</v>
      </c>
      <c r="AG13" s="228">
        <f t="shared" si="73"/>
        <v>2.1833400972719321</v>
      </c>
      <c r="AH13" s="228">
        <f t="shared" si="74"/>
        <v>2.7962370298574686</v>
      </c>
      <c r="AI13" s="228">
        <f t="shared" si="75"/>
        <v>2.3015847999999988</v>
      </c>
      <c r="AJ13" s="228">
        <f t="shared" si="76"/>
        <v>2.365427380449856</v>
      </c>
      <c r="AK13" s="228">
        <f t="shared" si="77"/>
        <v>2.706099674925861</v>
      </c>
      <c r="AL13" s="228">
        <f t="shared" si="78"/>
        <v>2.4053734113967207</v>
      </c>
      <c r="AM13" s="228">
        <f t="shared" si="79"/>
        <v>0.24662659902324288</v>
      </c>
      <c r="AN13" s="228">
        <f t="shared" si="80"/>
        <v>10.253152290397813</v>
      </c>
      <c r="AP13" s="229">
        <f t="shared" si="81"/>
        <v>1.3068181818181817</v>
      </c>
      <c r="AQ13" s="229">
        <f t="shared" si="82"/>
        <v>1.3531614893148272</v>
      </c>
      <c r="AR13" s="229">
        <f t="shared" si="83"/>
        <v>1.3214085983776607</v>
      </c>
      <c r="AS13" s="229">
        <f t="shared" si="84"/>
        <v>1.2916923608898938</v>
      </c>
      <c r="AT13" s="229">
        <f t="shared" si="85"/>
        <v>1.3068181818181817</v>
      </c>
      <c r="AU13" s="229">
        <f t="shared" si="86"/>
        <v>0.44274903005494604</v>
      </c>
      <c r="AV13" s="229">
        <f t="shared" si="87"/>
        <v>1.3531614893148272</v>
      </c>
      <c r="AW13" s="229">
        <f t="shared" si="88"/>
        <v>1.4290305742792271</v>
      </c>
      <c r="AX13" s="229">
        <f t="shared" si="89"/>
        <v>1.4968304874951339</v>
      </c>
      <c r="AY13" s="229">
        <f t="shared" si="90"/>
        <v>1.2557411548180977</v>
      </c>
      <c r="AZ13" s="229">
        <f t="shared" si="91"/>
        <v>0.31203232104976819</v>
      </c>
      <c r="BA13" s="229">
        <f t="shared" si="92"/>
        <v>24.848458605704305</v>
      </c>
      <c r="BC13" s="230">
        <f t="shared" si="93"/>
        <v>3.0168309000000022</v>
      </c>
      <c r="BD13" s="230">
        <f t="shared" si="94"/>
        <v>10.394709098377662</v>
      </c>
      <c r="BE13" s="230">
        <f t="shared" si="95"/>
        <v>3.0168309000000022</v>
      </c>
      <c r="BF13" s="230">
        <f t="shared" si="96"/>
        <v>2.8259763013910737</v>
      </c>
      <c r="BG13" s="230">
        <f t="shared" si="97"/>
        <v>4.8135867999421844</v>
      </c>
      <c r="BH13" s="230">
        <f t="shared" si="98"/>
        <v>3.7218357984556665</v>
      </c>
      <c r="BI13" s="230">
        <f t="shared" si="99"/>
        <v>77.319386834374086</v>
      </c>
      <c r="BK13" s="227">
        <f t="shared" si="6"/>
        <v>4.7451557692307693</v>
      </c>
      <c r="BL13" s="227">
        <f t="shared" si="7"/>
        <v>13.166700043640068</v>
      </c>
      <c r="BM13" s="227">
        <f t="shared" si="8"/>
        <v>10.956234487944814</v>
      </c>
      <c r="BN13" s="227">
        <f t="shared" si="9"/>
        <v>11.044691565696464</v>
      </c>
      <c r="BO13" s="227">
        <f t="shared" si="10"/>
        <v>4.7451557692307693</v>
      </c>
      <c r="BP13" s="227">
        <f t="shared" si="11"/>
        <v>10.666201537278074</v>
      </c>
      <c r="BQ13" s="227">
        <f t="shared" si="12"/>
        <v>12.210279052142788</v>
      </c>
      <c r="BR13" s="227">
        <f t="shared" si="100"/>
        <v>9.647774032166252</v>
      </c>
      <c r="BS13" s="227">
        <f t="shared" si="101"/>
        <v>3.4573893296039921</v>
      </c>
      <c r="BT13" s="227">
        <f t="shared" si="13"/>
        <v>35.836135030493573</v>
      </c>
      <c r="BV13" s="231">
        <f t="shared" si="102"/>
        <v>0.13014762980952399</v>
      </c>
      <c r="BW13" s="231">
        <f t="shared" si="103"/>
        <v>0.16136488917659364</v>
      </c>
      <c r="BX13" s="231">
        <f t="shared" si="104"/>
        <v>0.17140917958651467</v>
      </c>
      <c r="BY13" s="231">
        <f t="shared" si="105"/>
        <v>0.13014762980952399</v>
      </c>
      <c r="BZ13" s="231">
        <f t="shared" si="106"/>
        <v>0.14615162362500925</v>
      </c>
      <c r="CA13" s="231">
        <f t="shared" si="107"/>
        <v>0.16338384348414123</v>
      </c>
      <c r="CB13" s="231">
        <f t="shared" si="108"/>
        <v>0.23868453128094971</v>
      </c>
      <c r="CC13" s="231">
        <f t="shared" si="109"/>
        <v>0.28958384793195763</v>
      </c>
      <c r="CD13" s="231">
        <f t="shared" si="110"/>
        <v>0.17885914683802678</v>
      </c>
      <c r="CE13" s="231">
        <f t="shared" si="111"/>
        <v>5.6385760601563827E-2</v>
      </c>
      <c r="CF13" s="231">
        <f t="shared" si="14"/>
        <v>31.525231780640361</v>
      </c>
      <c r="CH13" s="232">
        <f t="shared" si="112"/>
        <v>0.73316524933581806</v>
      </c>
      <c r="CI13" s="232">
        <f t="shared" si="113"/>
        <v>0.74304961904761901</v>
      </c>
      <c r="CJ13" s="232">
        <f t="shared" si="114"/>
        <v>1.3670984649036086</v>
      </c>
      <c r="CK13" s="232">
        <f t="shared" si="115"/>
        <v>0.84107284644913993</v>
      </c>
      <c r="CL13" s="232">
        <f t="shared" si="116"/>
        <v>0.77028585272562378</v>
      </c>
      <c r="CM13" s="232">
        <f t="shared" si="117"/>
        <v>0.73316524933581806</v>
      </c>
      <c r="CN13" s="232">
        <f t="shared" si="118"/>
        <v>0.73316524933581806</v>
      </c>
      <c r="CO13" s="232">
        <f t="shared" si="119"/>
        <v>0.82180494948359273</v>
      </c>
      <c r="CP13" s="232">
        <f t="shared" si="120"/>
        <v>0.74304961904761901</v>
      </c>
      <c r="CQ13" s="232">
        <f t="shared" si="121"/>
        <v>0.87011845433421964</v>
      </c>
      <c r="CR13" s="232">
        <f t="shared" si="122"/>
        <v>0.83559755539988778</v>
      </c>
      <c r="CS13" s="232">
        <f t="shared" si="123"/>
        <v>0.19344195672250972</v>
      </c>
      <c r="CT13" s="232">
        <f t="shared" si="15"/>
        <v>23.150134352647207</v>
      </c>
      <c r="CV13" s="229">
        <f t="shared" si="16"/>
        <v>0.38241190476190473</v>
      </c>
      <c r="CW13" s="229">
        <f t="shared" si="17"/>
        <v>0.50419612624311505</v>
      </c>
      <c r="CX13" s="229">
        <f t="shared" si="18"/>
        <v>0.22319281234290242</v>
      </c>
      <c r="CY13" s="229">
        <f t="shared" si="19"/>
        <v>0.34491490719806034</v>
      </c>
      <c r="CZ13" s="229">
        <f t="shared" si="20"/>
        <v>0.53566601235436206</v>
      </c>
      <c r="DA13" s="229">
        <f t="shared" si="21"/>
        <v>0.38241190476190473</v>
      </c>
      <c r="DB13" s="229">
        <f t="shared" si="22"/>
        <v>0.21200362365062461</v>
      </c>
      <c r="DC13" s="229">
        <f t="shared" si="23"/>
        <v>0.48933740988593249</v>
      </c>
      <c r="DD13" s="229">
        <f t="shared" si="24"/>
        <v>0.38426683764985081</v>
      </c>
      <c r="DE13" s="229">
        <f t="shared" si="25"/>
        <v>0.12277708140130461</v>
      </c>
      <c r="DF13" s="229">
        <f t="shared" si="26"/>
        <v>31.950995863239378</v>
      </c>
      <c r="DH13" s="234">
        <f t="shared" si="124"/>
        <v>1.332E-2</v>
      </c>
      <c r="DI13" s="234">
        <f t="shared" si="125"/>
        <v>1.8000000000000002E-2</v>
      </c>
      <c r="DJ13" s="234">
        <f t="shared" si="126"/>
        <v>5.5264218322501252E-2</v>
      </c>
      <c r="DK13" s="234">
        <f t="shared" si="27"/>
        <v>2.8861406107500417E-2</v>
      </c>
      <c r="DL13" s="234">
        <f t="shared" si="28"/>
        <v>2.2984929185130155E-2</v>
      </c>
      <c r="DM13" s="234">
        <f t="shared" si="29"/>
        <v>79.638979124987614</v>
      </c>
      <c r="DO13" s="229">
        <f t="shared" si="127"/>
        <v>1.5293535999999996</v>
      </c>
      <c r="DP13" s="229">
        <f t="shared" si="128"/>
        <v>1.7529992071387708</v>
      </c>
      <c r="DQ13" s="229">
        <f t="shared" si="129"/>
        <v>0.82062233240567728</v>
      </c>
      <c r="DR13" s="229">
        <f t="shared" si="130"/>
        <v>1.6569665114510868</v>
      </c>
      <c r="DS13" s="229">
        <f t="shared" si="131"/>
        <v>1.6187161934730905</v>
      </c>
      <c r="DT13" s="229">
        <f t="shared" si="132"/>
        <v>1.5293535999999996</v>
      </c>
      <c r="DU13" s="229">
        <f t="shared" si="133"/>
        <v>-0.14253920999999989</v>
      </c>
      <c r="DV13" s="229">
        <f t="shared" si="134"/>
        <v>0.79601747109039456</v>
      </c>
      <c r="DW13" s="229">
        <f t="shared" si="30"/>
        <v>1.1951862131948774</v>
      </c>
      <c r="DX13" s="229">
        <f t="shared" si="31"/>
        <v>0.6564246015238363</v>
      </c>
      <c r="DY13" s="229">
        <f t="shared" si="32"/>
        <v>54.922370612787944</v>
      </c>
      <c r="EA13" s="235">
        <f t="shared" si="135"/>
        <v>6.9899240986717279E-2</v>
      </c>
      <c r="EB13" s="235">
        <f t="shared" si="136"/>
        <v>9.1858179960971162E-2</v>
      </c>
      <c r="EC13" s="235">
        <f t="shared" si="137"/>
        <v>6.9899240986717279E-2</v>
      </c>
      <c r="ED13" s="235">
        <f t="shared" si="138"/>
        <v>6.5471707303869364E-2</v>
      </c>
      <c r="EE13" s="235">
        <f t="shared" si="139"/>
        <v>7.4366484221125129E-2</v>
      </c>
      <c r="EF13" s="235">
        <f t="shared" si="140"/>
        <v>7.4298970691880045E-2</v>
      </c>
      <c r="EG13" s="235">
        <f t="shared" si="141"/>
        <v>1.0307354293302675E-2</v>
      </c>
      <c r="EH13" s="235">
        <f t="shared" si="33"/>
        <v>13.872809000339409</v>
      </c>
      <c r="EJ13" s="229">
        <f t="shared" si="142"/>
        <v>4.1164553493449789</v>
      </c>
      <c r="EK13" s="229">
        <f t="shared" si="143"/>
        <v>7.6713111269503926</v>
      </c>
      <c r="EL13" s="229">
        <f t="shared" si="144"/>
        <v>3.7698631000000034</v>
      </c>
      <c r="EM13" s="229">
        <f t="shared" si="145"/>
        <v>8.6203824119097341</v>
      </c>
      <c r="EN13" s="229">
        <f t="shared" si="146"/>
        <v>7.355277281441154</v>
      </c>
      <c r="EO13" s="229">
        <f t="shared" si="34"/>
        <v>7.2861253554649101</v>
      </c>
      <c r="EP13" s="229">
        <f t="shared" si="147"/>
        <v>5.6027572589465189</v>
      </c>
      <c r="EQ13" s="229">
        <f t="shared" si="148"/>
        <v>6.3460245548653846</v>
      </c>
      <c r="ER13" s="229">
        <f t="shared" si="149"/>
        <v>1.8704501106399589</v>
      </c>
      <c r="ES13" s="229">
        <f t="shared" si="35"/>
        <v>29.474359805398453</v>
      </c>
      <c r="EU13" s="238">
        <f t="shared" si="191"/>
        <v>6.2354012944836118E-3</v>
      </c>
      <c r="EV13" s="238">
        <f t="shared" si="151"/>
        <v>6.2354012944836118E-3</v>
      </c>
      <c r="EW13" s="238" t="e">
        <f t="shared" si="152"/>
        <v>#DIV/0!</v>
      </c>
      <c r="EX13" s="238" t="e">
        <f t="shared" si="36"/>
        <v>#DIV/0!</v>
      </c>
      <c r="EZ13" s="240">
        <f t="shared" si="153"/>
        <v>7.0556558894942637E-6</v>
      </c>
      <c r="FA13" s="240">
        <f t="shared" si="154"/>
        <v>7.0556558894942637E-6</v>
      </c>
      <c r="FB13" s="240" t="e">
        <f t="shared" si="155"/>
        <v>#DIV/0!</v>
      </c>
      <c r="FC13" s="240" t="e">
        <f t="shared" si="37"/>
        <v>#DIV/0!</v>
      </c>
      <c r="FE13" s="236">
        <f t="shared" si="156"/>
        <v>0.28037563750000005</v>
      </c>
      <c r="FF13" s="236">
        <f t="shared" si="157"/>
        <v>0.60107334134035906</v>
      </c>
      <c r="FG13" s="236">
        <f t="shared" si="158"/>
        <v>0.51364706516719916</v>
      </c>
      <c r="FH13" s="236">
        <f t="shared" si="159"/>
        <v>0.51442055738754511</v>
      </c>
      <c r="FI13" s="236">
        <f t="shared" si="160"/>
        <v>0.9</v>
      </c>
      <c r="FJ13" s="236">
        <f t="shared" si="161"/>
        <v>0.57406771454764138</v>
      </c>
      <c r="FK13" s="236">
        <f t="shared" si="38"/>
        <v>0.5639307193237908</v>
      </c>
      <c r="FL13" s="236">
        <f t="shared" si="39"/>
        <v>0.19990401741588318</v>
      </c>
      <c r="FM13" s="236">
        <f t="shared" si="40"/>
        <v>35.448329123759748</v>
      </c>
      <c r="FO13" s="227">
        <f t="shared" si="162"/>
        <v>0.12550330097087384</v>
      </c>
      <c r="FP13" s="227">
        <f t="shared" si="163"/>
        <v>0.17779654936521114</v>
      </c>
      <c r="FQ13" s="227">
        <f t="shared" si="164"/>
        <v>0.169246690438243</v>
      </c>
      <c r="FR13" s="227">
        <f t="shared" si="165"/>
        <v>0.12550330097087384</v>
      </c>
      <c r="FS13" s="227">
        <f t="shared" si="166"/>
        <v>0.14029651565114865</v>
      </c>
      <c r="FT13" s="227">
        <f t="shared" si="41"/>
        <v>0.14766927147927009</v>
      </c>
      <c r="FU13" s="227">
        <f t="shared" si="42"/>
        <v>2.4547178592493335E-2</v>
      </c>
      <c r="FV13" s="227">
        <f t="shared" si="43"/>
        <v>16.62307827931506</v>
      </c>
      <c r="FX13" s="230">
        <f t="shared" si="167"/>
        <v>0.94962384960000157</v>
      </c>
      <c r="FY13" s="230">
        <f t="shared" si="168"/>
        <v>0.65471707303869375</v>
      </c>
      <c r="FZ13" s="230">
        <f t="shared" si="169"/>
        <v>0.94962384960000157</v>
      </c>
      <c r="GA13" s="230">
        <f t="shared" si="170"/>
        <v>1.1469669492481045</v>
      </c>
      <c r="GB13" s="230">
        <f t="shared" si="44"/>
        <v>0.92523293037170029</v>
      </c>
      <c r="GC13" s="230">
        <f t="shared" si="45"/>
        <v>0.20292415502456096</v>
      </c>
      <c r="GD13" s="230">
        <f t="shared" si="46"/>
        <v>21.932223590770686</v>
      </c>
      <c r="GF13" s="231">
        <f t="shared" si="171"/>
        <v>1.1145238095238093E-2</v>
      </c>
      <c r="GG13" s="231">
        <f t="shared" si="172"/>
        <v>2.6410545094766664E-2</v>
      </c>
      <c r="GH13" s="231">
        <f t="shared" si="173"/>
        <v>0.06</v>
      </c>
      <c r="GI13" s="231">
        <f t="shared" si="174"/>
        <v>3.7171689647486116E-3</v>
      </c>
      <c r="GJ13" s="245">
        <f t="shared" si="187"/>
        <v>2.5318238038688341E-2</v>
      </c>
      <c r="GK13" s="231">
        <f t="shared" si="188"/>
        <v>2.4976641487464504E-2</v>
      </c>
      <c r="GL13" s="231">
        <f t="shared" si="47"/>
        <v>98.65078861055872</v>
      </c>
      <c r="GN13" s="246">
        <f t="shared" si="175"/>
        <v>7.6112115384615417E-2</v>
      </c>
      <c r="GO13" s="246">
        <f t="shared" si="176"/>
        <v>7.6112115384615417E-2</v>
      </c>
      <c r="GP13" s="246">
        <f t="shared" si="177"/>
        <v>6.5471707303869364E-2</v>
      </c>
      <c r="GQ13" s="247">
        <f t="shared" si="189"/>
        <v>7.2565312691033404E-2</v>
      </c>
      <c r="GR13" s="246">
        <f t="shared" si="190"/>
        <v>6.1432424697062029E-3</v>
      </c>
      <c r="GS13" s="246">
        <f t="shared" si="48"/>
        <v>8.4658113386250147</v>
      </c>
      <c r="GU13" s="249">
        <f t="shared" si="178"/>
        <v>8.5424989529810508E-3</v>
      </c>
      <c r="GV13" s="249">
        <f t="shared" si="179"/>
        <v>8.5424989529810508E-3</v>
      </c>
      <c r="GW13" s="249" t="e">
        <f t="shared" si="180"/>
        <v>#DIV/0!</v>
      </c>
      <c r="GX13" s="249" t="e">
        <f t="shared" si="49"/>
        <v>#DIV/0!</v>
      </c>
      <c r="GZ13" s="240">
        <f t="shared" si="181"/>
        <v>9.3531010434099102E-3</v>
      </c>
      <c r="HA13" s="240">
        <f t="shared" si="182"/>
        <v>9.3531010434099102E-3</v>
      </c>
      <c r="HB13" s="240" t="e">
        <f t="shared" si="183"/>
        <v>#DIV/0!</v>
      </c>
      <c r="HC13" s="240" t="e">
        <f t="shared" si="50"/>
        <v>#DIV/0!</v>
      </c>
      <c r="HE13" s="234">
        <f t="shared" si="184"/>
        <v>3.6670434138859308E-2</v>
      </c>
      <c r="HF13" s="251">
        <f t="shared" si="185"/>
        <v>3.6670434138859308E-2</v>
      </c>
      <c r="HG13" s="234" t="e">
        <f t="shared" si="186"/>
        <v>#DIV/0!</v>
      </c>
      <c r="HH13" s="234" t="e">
        <f t="shared" si="51"/>
        <v>#DIV/0!</v>
      </c>
    </row>
    <row r="14" spans="1:216" ht="15.6" x14ac:dyDescent="0.25">
      <c r="B14">
        <v>10</v>
      </c>
      <c r="C14" s="124">
        <f t="shared" si="52"/>
        <v>35.881071702458861</v>
      </c>
      <c r="D14" s="124">
        <f t="shared" si="53"/>
        <v>143.886453685248</v>
      </c>
      <c r="E14" s="29">
        <f t="shared" si="54"/>
        <v>1.2198152702587493</v>
      </c>
      <c r="F14" s="29">
        <f t="shared" si="0"/>
        <v>1.2071147457816029</v>
      </c>
      <c r="G14" s="29">
        <f t="shared" si="1"/>
        <v>1.2087127478403743</v>
      </c>
      <c r="H14" s="29">
        <f t="shared" si="2"/>
        <v>1.2198152702587493</v>
      </c>
      <c r="I14" s="29">
        <f t="shared" si="3"/>
        <v>1.1929603322075217</v>
      </c>
      <c r="J14" s="125">
        <f t="shared" si="4"/>
        <v>1.2096836732693994</v>
      </c>
      <c r="K14" s="126">
        <f t="shared" si="5"/>
        <v>1.1096291452636027E-2</v>
      </c>
      <c r="L14" s="126">
        <f t="shared" si="55"/>
        <v>0.91728868445799527</v>
      </c>
      <c r="N14" s="138">
        <f t="shared" si="56"/>
        <v>254.03357138657393</v>
      </c>
      <c r="O14" s="138">
        <f t="shared" si="57"/>
        <v>338.214</v>
      </c>
      <c r="P14" s="138">
        <f t="shared" si="58"/>
        <v>250.19071036808577</v>
      </c>
      <c r="Q14" s="138">
        <f t="shared" si="59"/>
        <v>230.39683320046305</v>
      </c>
      <c r="R14" s="138">
        <f t="shared" si="60"/>
        <v>254.03357138657393</v>
      </c>
      <c r="S14" s="138">
        <f t="shared" si="61"/>
        <v>301.96820064730429</v>
      </c>
      <c r="T14" s="138">
        <f t="shared" si="62"/>
        <v>271.47281449816677</v>
      </c>
      <c r="U14" s="138">
        <f t="shared" si="63"/>
        <v>40.33056660886033</v>
      </c>
      <c r="V14" s="138">
        <f t="shared" si="64"/>
        <v>14.856208229694644</v>
      </c>
      <c r="X14" s="227">
        <f t="shared" si="65"/>
        <v>0.39278135000000003</v>
      </c>
      <c r="Y14" s="227">
        <f t="shared" si="66"/>
        <v>0.42821123588419457</v>
      </c>
      <c r="Z14" s="227">
        <f t="shared" si="67"/>
        <v>0.39278135000000003</v>
      </c>
      <c r="AA14" s="227">
        <f t="shared" si="68"/>
        <v>0.40459131196139825</v>
      </c>
      <c r="AB14" s="227">
        <f t="shared" si="69"/>
        <v>2.0455454152597443E-2</v>
      </c>
      <c r="AC14" s="227">
        <f t="shared" si="70"/>
        <v>5.0558312914413452</v>
      </c>
      <c r="AE14" s="228">
        <f t="shared" si="71"/>
        <v>2.4365991697657607</v>
      </c>
      <c r="AF14" s="228">
        <f t="shared" si="72"/>
        <v>2.5297499999999982</v>
      </c>
      <c r="AG14" s="228">
        <f t="shared" si="73"/>
        <v>2.4365991697657607</v>
      </c>
      <c r="AH14" s="228">
        <f t="shared" si="74"/>
        <v>3.2180815539648955</v>
      </c>
      <c r="AI14" s="228">
        <f t="shared" si="75"/>
        <v>2.5297499999999982</v>
      </c>
      <c r="AJ14" s="228">
        <f t="shared" si="76"/>
        <v>2.72600193756112</v>
      </c>
      <c r="AK14" s="228">
        <f t="shared" si="77"/>
        <v>3.0360817282897168</v>
      </c>
      <c r="AL14" s="228">
        <f t="shared" si="78"/>
        <v>2.7018376513353215</v>
      </c>
      <c r="AM14" s="228">
        <f t="shared" si="79"/>
        <v>0.3105752743981649</v>
      </c>
      <c r="AN14" s="228">
        <f t="shared" si="80"/>
        <v>11.494964334539869</v>
      </c>
      <c r="AP14" s="229">
        <f t="shared" si="81"/>
        <v>1.3190537084398974</v>
      </c>
      <c r="AQ14" s="229">
        <f t="shared" si="82"/>
        <v>1.3620965590824221</v>
      </c>
      <c r="AR14" s="229">
        <f t="shared" si="83"/>
        <v>1.3269062278876693</v>
      </c>
      <c r="AS14" s="229">
        <f t="shared" si="84"/>
        <v>1.3258859207350988</v>
      </c>
      <c r="AT14" s="229">
        <f t="shared" si="85"/>
        <v>1.3190537084398974</v>
      </c>
      <c r="AU14" s="229">
        <f t="shared" si="86"/>
        <v>0.43123429752955367</v>
      </c>
      <c r="AV14" s="229">
        <f t="shared" si="87"/>
        <v>1.3620965590824221</v>
      </c>
      <c r="AW14" s="229">
        <f t="shared" si="88"/>
        <v>1.4364949261066247</v>
      </c>
      <c r="AX14" s="229">
        <f t="shared" si="89"/>
        <v>1.4944824833864816</v>
      </c>
      <c r="AY14" s="229">
        <f t="shared" si="90"/>
        <v>1.264144932298896</v>
      </c>
      <c r="AZ14" s="229">
        <f t="shared" si="91"/>
        <v>0.31809392342694398</v>
      </c>
      <c r="BA14" s="229">
        <f t="shared" si="92"/>
        <v>25.162773294394182</v>
      </c>
      <c r="BC14" s="230">
        <f t="shared" si="93"/>
        <v>3.5194999999999994</v>
      </c>
      <c r="BD14" s="230">
        <f t="shared" si="94"/>
        <v>11.36446672788767</v>
      </c>
      <c r="BE14" s="230">
        <f t="shared" si="95"/>
        <v>3.5194999999999994</v>
      </c>
      <c r="BF14" s="230">
        <f t="shared" si="96"/>
        <v>2.9220339495380676</v>
      </c>
      <c r="BG14" s="230">
        <f t="shared" si="97"/>
        <v>5.3313751693564342</v>
      </c>
      <c r="BH14" s="230">
        <f t="shared" si="98"/>
        <v>4.0319103051282239</v>
      </c>
      <c r="BI14" s="230">
        <f t="shared" si="99"/>
        <v>75.626084772700921</v>
      </c>
      <c r="BK14" s="227">
        <f t="shared" si="6"/>
        <v>5.8052884615384617</v>
      </c>
      <c r="BL14" s="227">
        <f t="shared" si="7"/>
        <v>14.928477737952507</v>
      </c>
      <c r="BM14" s="227">
        <f t="shared" si="8"/>
        <v>12.87593017250771</v>
      </c>
      <c r="BN14" s="227">
        <f t="shared" si="9"/>
        <v>12.930228631275082</v>
      </c>
      <c r="BO14" s="227">
        <f t="shared" si="10"/>
        <v>5.8052884615384617</v>
      </c>
      <c r="BP14" s="227">
        <f t="shared" si="11"/>
        <v>12.535937711485923</v>
      </c>
      <c r="BQ14" s="227">
        <f t="shared" si="12"/>
        <v>12.892518094829871</v>
      </c>
      <c r="BR14" s="227">
        <f t="shared" si="100"/>
        <v>11.110524181589716</v>
      </c>
      <c r="BS14" s="227">
        <f t="shared" si="101"/>
        <v>3.7081691368330914</v>
      </c>
      <c r="BT14" s="227">
        <f t="shared" si="13"/>
        <v>33.375285236114927</v>
      </c>
      <c r="BV14" s="231">
        <f t="shared" si="102"/>
        <v>0.14247714285714291</v>
      </c>
      <c r="BW14" s="231">
        <f t="shared" si="103"/>
        <v>0.1773376320303085</v>
      </c>
      <c r="BX14" s="231">
        <f t="shared" si="104"/>
        <v>0.18974906732383712</v>
      </c>
      <c r="BY14" s="231">
        <f t="shared" si="105"/>
        <v>0.14247714285714291</v>
      </c>
      <c r="BZ14" s="231">
        <f t="shared" si="106"/>
        <v>0.16477499904426912</v>
      </c>
      <c r="CA14" s="231">
        <f t="shared" si="107"/>
        <v>0.18075225589198132</v>
      </c>
      <c r="CB14" s="231">
        <f t="shared" si="108"/>
        <v>0.26578125797318281</v>
      </c>
      <c r="CC14" s="231">
        <f t="shared" si="109"/>
        <v>0.31899976854810108</v>
      </c>
      <c r="CD14" s="231">
        <f t="shared" si="110"/>
        <v>0.19779365831574569</v>
      </c>
      <c r="CE14" s="231">
        <f t="shared" si="111"/>
        <v>6.2446404839983483E-2</v>
      </c>
      <c r="CF14" s="231">
        <f t="shared" si="14"/>
        <v>31.571489890893194</v>
      </c>
      <c r="CH14" s="232">
        <f t="shared" si="112"/>
        <v>0.81809940937167769</v>
      </c>
      <c r="CI14" s="232">
        <f t="shared" si="113"/>
        <v>0.82430476190476187</v>
      </c>
      <c r="CJ14" s="232">
        <f t="shared" si="114"/>
        <v>1.45629584766478</v>
      </c>
      <c r="CK14" s="232">
        <f t="shared" si="115"/>
        <v>0.9519705015642379</v>
      </c>
      <c r="CL14" s="232">
        <f t="shared" si="116"/>
        <v>0.89027846428252921</v>
      </c>
      <c r="CM14" s="232">
        <f t="shared" si="117"/>
        <v>0.81809940937167769</v>
      </c>
      <c r="CN14" s="232">
        <f t="shared" si="118"/>
        <v>0.81809940937167769</v>
      </c>
      <c r="CO14" s="232">
        <f t="shared" si="119"/>
        <v>0.91647407755719612</v>
      </c>
      <c r="CP14" s="232">
        <f t="shared" si="120"/>
        <v>0.82430476190476187</v>
      </c>
      <c r="CQ14" s="232">
        <f t="shared" si="121"/>
        <v>0.94259284710674229</v>
      </c>
      <c r="CR14" s="232">
        <f t="shared" si="122"/>
        <v>0.92605194901000432</v>
      </c>
      <c r="CS14" s="232">
        <f t="shared" si="123"/>
        <v>0.194119572308419</v>
      </c>
      <c r="CT14" s="232">
        <f t="shared" si="15"/>
        <v>20.9620607694787</v>
      </c>
      <c r="CV14" s="229">
        <f t="shared" si="16"/>
        <v>0.40858380952380952</v>
      </c>
      <c r="CW14" s="229">
        <f t="shared" si="17"/>
        <v>0.56000330631816164</v>
      </c>
      <c r="CX14" s="229">
        <f t="shared" si="18"/>
        <v>0.26406931482672941</v>
      </c>
      <c r="CY14" s="229">
        <f t="shared" si="19"/>
        <v>0.37743347412717654</v>
      </c>
      <c r="CZ14" s="229">
        <f t="shared" si="20"/>
        <v>0.60880889921921166</v>
      </c>
      <c r="DA14" s="229">
        <f t="shared" si="21"/>
        <v>0.40858380952380952</v>
      </c>
      <c r="DB14" s="229">
        <f t="shared" si="22"/>
        <v>0.24399128757672026</v>
      </c>
      <c r="DC14" s="229">
        <f t="shared" si="23"/>
        <v>0.54565807756321327</v>
      </c>
      <c r="DD14" s="229">
        <f t="shared" si="24"/>
        <v>0.42714149733485396</v>
      </c>
      <c r="DE14" s="229">
        <f t="shared" si="25"/>
        <v>0.13522345746956657</v>
      </c>
      <c r="DF14" s="229">
        <f t="shared" si="26"/>
        <v>31.657766410730936</v>
      </c>
      <c r="DH14" s="234">
        <f t="shared" si="124"/>
        <v>1.4800000000000001E-2</v>
      </c>
      <c r="DI14" s="234">
        <f t="shared" si="125"/>
        <v>0.02</v>
      </c>
      <c r="DJ14" s="234">
        <f t="shared" si="126"/>
        <v>6.1927039370162092E-2</v>
      </c>
      <c r="DK14" s="234">
        <f t="shared" si="27"/>
        <v>3.2242346456720694E-2</v>
      </c>
      <c r="DL14" s="234">
        <f t="shared" si="28"/>
        <v>2.5838841789522775E-2</v>
      </c>
      <c r="DM14" s="234">
        <f t="shared" si="29"/>
        <v>80.139458287276256</v>
      </c>
      <c r="DO14" s="229">
        <f t="shared" si="127"/>
        <v>1.5986999999999991</v>
      </c>
      <c r="DP14" s="229">
        <f t="shared" si="128"/>
        <v>1.9466922592768057</v>
      </c>
      <c r="DQ14" s="229">
        <f t="shared" si="129"/>
        <v>0.89910221551292002</v>
      </c>
      <c r="DR14" s="229">
        <f t="shared" si="130"/>
        <v>1.8145255099040989</v>
      </c>
      <c r="DS14" s="229">
        <f t="shared" si="131"/>
        <v>1.7211321431124273</v>
      </c>
      <c r="DT14" s="229">
        <f t="shared" si="132"/>
        <v>1.5986999999999991</v>
      </c>
      <c r="DU14" s="229">
        <f t="shared" si="133"/>
        <v>-0.14922999999999986</v>
      </c>
      <c r="DV14" s="229">
        <f t="shared" si="134"/>
        <v>0.94566240459829987</v>
      </c>
      <c r="DW14" s="229">
        <f t="shared" si="30"/>
        <v>1.2969105665505689</v>
      </c>
      <c r="DX14" s="229">
        <f t="shared" si="31"/>
        <v>0.69951089460958105</v>
      </c>
      <c r="DY14" s="229">
        <f t="shared" si="32"/>
        <v>53.936710259836239</v>
      </c>
      <c r="EA14" s="235">
        <f t="shared" si="135"/>
        <v>7.6755218216318755E-2</v>
      </c>
      <c r="EB14" s="235">
        <f t="shared" si="136"/>
        <v>0.10477783993437201</v>
      </c>
      <c r="EC14" s="235">
        <f t="shared" si="137"/>
        <v>7.6755218216318755E-2</v>
      </c>
      <c r="ED14" s="235">
        <f t="shared" si="138"/>
        <v>7.5350250575163605E-2</v>
      </c>
      <c r="EE14" s="235">
        <f t="shared" si="139"/>
        <v>8.1963301293256477E-2</v>
      </c>
      <c r="EF14" s="235">
        <f t="shared" si="140"/>
        <v>8.3120365647085914E-2</v>
      </c>
      <c r="EG14" s="235">
        <f t="shared" si="141"/>
        <v>1.2367193318262229E-2</v>
      </c>
      <c r="EH14" s="235">
        <f t="shared" si="33"/>
        <v>14.878656057374798</v>
      </c>
      <c r="EJ14" s="229">
        <f t="shared" si="142"/>
        <v>4.9816593886462881</v>
      </c>
      <c r="EK14" s="229">
        <f t="shared" si="143"/>
        <v>8.8854163110774671</v>
      </c>
      <c r="EL14" s="229">
        <f t="shared" si="144"/>
        <v>4.5621999999999998</v>
      </c>
      <c r="EM14" s="229">
        <f t="shared" si="145"/>
        <v>9.215647700634749</v>
      </c>
      <c r="EN14" s="229">
        <f t="shared" si="146"/>
        <v>8.1505805021541242</v>
      </c>
      <c r="EO14" s="229">
        <f t="shared" si="34"/>
        <v>8.3341110169816393</v>
      </c>
      <c r="EP14" s="229">
        <f t="shared" si="147"/>
        <v>5.8299359636086781</v>
      </c>
      <c r="EQ14" s="229">
        <f t="shared" si="148"/>
        <v>7.1370786975861353</v>
      </c>
      <c r="ER14" s="229">
        <f t="shared" si="149"/>
        <v>1.9502846212944849</v>
      </c>
      <c r="ES14" s="229">
        <f t="shared" si="35"/>
        <v>27.326091023125464</v>
      </c>
      <c r="EU14" s="238">
        <f t="shared" si="191"/>
        <v>7.1762144319228467E-3</v>
      </c>
      <c r="EV14" s="238">
        <f t="shared" si="151"/>
        <v>7.1762144319228467E-3</v>
      </c>
      <c r="EW14" s="238" t="e">
        <f t="shared" si="152"/>
        <v>#DIV/0!</v>
      </c>
      <c r="EX14" s="238" t="e">
        <f t="shared" si="36"/>
        <v>#DIV/0!</v>
      </c>
      <c r="EZ14" s="240">
        <f t="shared" si="153"/>
        <v>3.352478256885912E-5</v>
      </c>
      <c r="FA14" s="240">
        <f t="shared" si="154"/>
        <v>3.352478256885912E-5</v>
      </c>
      <c r="FB14" s="240" t="e">
        <f t="shared" si="155"/>
        <v>#DIV/0!</v>
      </c>
      <c r="FC14" s="240" t="e">
        <f t="shared" si="37"/>
        <v>#DIV/0!</v>
      </c>
      <c r="FE14" s="236">
        <f t="shared" si="156"/>
        <v>0.31793749999999976</v>
      </c>
      <c r="FF14" s="236">
        <f t="shared" si="157"/>
        <v>0.66864084652667466</v>
      </c>
      <c r="FG14" s="236">
        <f t="shared" si="158"/>
        <v>0.59607988552103786</v>
      </c>
      <c r="FH14" s="236">
        <f t="shared" si="159"/>
        <v>0.59203768309057125</v>
      </c>
      <c r="FI14" s="236">
        <f t="shared" si="160"/>
        <v>0.9</v>
      </c>
      <c r="FJ14" s="236">
        <f t="shared" si="161"/>
        <v>0.65292068555530336</v>
      </c>
      <c r="FK14" s="236">
        <f t="shared" si="38"/>
        <v>0.62126943344893115</v>
      </c>
      <c r="FL14" s="236">
        <f t="shared" si="39"/>
        <v>0.18678107595281454</v>
      </c>
      <c r="FM14" s="236">
        <f t="shared" si="40"/>
        <v>30.064423887058673</v>
      </c>
      <c r="FO14" s="227">
        <f t="shared" si="162"/>
        <v>0.14024660194174751</v>
      </c>
      <c r="FP14" s="227">
        <f t="shared" si="163"/>
        <v>0.19402567892911132</v>
      </c>
      <c r="FQ14" s="227">
        <f t="shared" si="164"/>
        <v>0.19016892670586122</v>
      </c>
      <c r="FR14" s="227">
        <f t="shared" si="165"/>
        <v>0.14024660194174751</v>
      </c>
      <c r="FS14" s="227">
        <f t="shared" si="166"/>
        <v>0.16146482266106485</v>
      </c>
      <c r="FT14" s="227">
        <f t="shared" si="41"/>
        <v>0.16523052643590647</v>
      </c>
      <c r="FU14" s="227">
        <f t="shared" si="42"/>
        <v>2.6046391814946942E-2</v>
      </c>
      <c r="FV14" s="227">
        <f t="shared" si="43"/>
        <v>15.76366811676923</v>
      </c>
      <c r="FX14" s="230">
        <f t="shared" si="167"/>
        <v>1.1850660000000008</v>
      </c>
      <c r="FY14" s="230">
        <f t="shared" si="168"/>
        <v>0.75350250575163613</v>
      </c>
      <c r="FZ14" s="230">
        <f t="shared" si="169"/>
        <v>1.1850660000000008</v>
      </c>
      <c r="GA14" s="230">
        <f t="shared" si="170"/>
        <v>1.3702504579681747</v>
      </c>
      <c r="GB14" s="230">
        <f t="shared" si="44"/>
        <v>1.1234712409299532</v>
      </c>
      <c r="GC14" s="230">
        <f t="shared" si="45"/>
        <v>0.2616388577544983</v>
      </c>
      <c r="GD14" s="230">
        <f t="shared" si="46"/>
        <v>23.288433937830643</v>
      </c>
      <c r="GF14" s="231">
        <f t="shared" si="171"/>
        <v>1.3641904761904761E-2</v>
      </c>
      <c r="GG14" s="231">
        <f t="shared" si="172"/>
        <v>2.934328798657912E-2</v>
      </c>
      <c r="GH14" s="231">
        <f t="shared" si="173"/>
        <v>0.06</v>
      </c>
      <c r="GI14" s="231">
        <f t="shared" si="174"/>
        <v>5.1565046954320688E-3</v>
      </c>
      <c r="GJ14" s="245">
        <f t="shared" si="187"/>
        <v>2.7035424360978985E-2</v>
      </c>
      <c r="GK14" s="231">
        <f t="shared" si="188"/>
        <v>2.4152729138804358E-2</v>
      </c>
      <c r="GL14" s="231">
        <f t="shared" si="47"/>
        <v>89.337340580696406</v>
      </c>
      <c r="GN14" s="246">
        <f t="shared" si="175"/>
        <v>8.4951923076923161E-2</v>
      </c>
      <c r="GO14" s="246">
        <f t="shared" si="176"/>
        <v>8.4951923076923161E-2</v>
      </c>
      <c r="GP14" s="246">
        <f t="shared" si="177"/>
        <v>7.5350250575163605E-2</v>
      </c>
      <c r="GQ14" s="247">
        <f t="shared" si="189"/>
        <v>8.1751365576336651E-2</v>
      </c>
      <c r="GR14" s="246">
        <f t="shared" si="190"/>
        <v>5.5435282035615069E-3</v>
      </c>
      <c r="GS14" s="246">
        <f t="shared" si="48"/>
        <v>6.7809609839301688</v>
      </c>
      <c r="GU14" s="249">
        <f t="shared" si="178"/>
        <v>9.8314136464737276E-3</v>
      </c>
      <c r="GV14" s="249">
        <f t="shared" si="179"/>
        <v>9.8314136464737276E-3</v>
      </c>
      <c r="GW14" s="249" t="e">
        <f t="shared" si="180"/>
        <v>#DIV/0!</v>
      </c>
      <c r="GX14" s="249" t="e">
        <f t="shared" si="49"/>
        <v>#DIV/0!</v>
      </c>
      <c r="GZ14" s="240">
        <f t="shared" si="181"/>
        <v>1.0764321510737659E-2</v>
      </c>
      <c r="HA14" s="240">
        <f t="shared" si="182"/>
        <v>1.0764321510737659E-2</v>
      </c>
      <c r="HB14" s="240" t="e">
        <f t="shared" si="183"/>
        <v>#DIV/0!</v>
      </c>
      <c r="HC14" s="240" t="e">
        <f t="shared" si="50"/>
        <v>#DIV/0!</v>
      </c>
      <c r="HE14" s="234">
        <f t="shared" si="184"/>
        <v>4.2268275325926044E-2</v>
      </c>
      <c r="HF14" s="251">
        <f t="shared" si="185"/>
        <v>4.2268275325926044E-2</v>
      </c>
      <c r="HG14" s="234" t="e">
        <f t="shared" si="186"/>
        <v>#DIV/0!</v>
      </c>
      <c r="HH14" s="234" t="e">
        <f t="shared" si="51"/>
        <v>#DIV/0!</v>
      </c>
    </row>
    <row r="15" spans="1:216" ht="15.6" x14ac:dyDescent="0.25">
      <c r="B15">
        <v>11</v>
      </c>
      <c r="C15" s="124">
        <f t="shared" si="52"/>
        <v>40.824865932741318</v>
      </c>
      <c r="D15" s="124">
        <f t="shared" si="53"/>
        <v>149.33064326065067</v>
      </c>
      <c r="E15" s="29">
        <f t="shared" si="54"/>
        <v>1.3250099051891733</v>
      </c>
      <c r="F15" s="29">
        <f t="shared" si="0"/>
        <v>1.3099880327774027</v>
      </c>
      <c r="G15" s="29">
        <f t="shared" si="1"/>
        <v>1.3122002701421991</v>
      </c>
      <c r="H15" s="29">
        <f t="shared" si="2"/>
        <v>1.3250099051891733</v>
      </c>
      <c r="I15" s="29">
        <f t="shared" si="3"/>
        <v>1.2976819791143448</v>
      </c>
      <c r="J15" s="125">
        <f t="shared" si="4"/>
        <v>1.3139780184824585</v>
      </c>
      <c r="K15" s="126">
        <f t="shared" si="5"/>
        <v>1.1489629267240703E-2</v>
      </c>
      <c r="L15" s="126">
        <f t="shared" si="55"/>
        <v>0.87441563752415907</v>
      </c>
      <c r="N15" s="138">
        <f t="shared" si="56"/>
        <v>275.93538388131628</v>
      </c>
      <c r="O15" s="138">
        <f t="shared" si="57"/>
        <v>357.00759999999997</v>
      </c>
      <c r="P15" s="138">
        <f t="shared" si="58"/>
        <v>270.98173696207988</v>
      </c>
      <c r="Q15" s="138">
        <f t="shared" si="59"/>
        <v>254.17455579947611</v>
      </c>
      <c r="R15" s="138">
        <f t="shared" si="60"/>
        <v>275.93538388131628</v>
      </c>
      <c r="S15" s="138">
        <f t="shared" si="61"/>
        <v>313.93307996135832</v>
      </c>
      <c r="T15" s="138">
        <f t="shared" si="62"/>
        <v>291.32795674759114</v>
      </c>
      <c r="U15" s="138">
        <f t="shared" si="63"/>
        <v>37.66434280252961</v>
      </c>
      <c r="V15" s="138">
        <f t="shared" si="64"/>
        <v>12.928502716669342</v>
      </c>
      <c r="X15" s="227">
        <f t="shared" si="65"/>
        <v>0.39768780565</v>
      </c>
      <c r="Y15" s="227">
        <f t="shared" si="66"/>
        <v>0.43303252111076296</v>
      </c>
      <c r="Z15" s="227">
        <f t="shared" si="67"/>
        <v>0.39768780565</v>
      </c>
      <c r="AA15" s="227">
        <f t="shared" si="68"/>
        <v>0.4094693774702543</v>
      </c>
      <c r="AB15" s="227">
        <f t="shared" si="69"/>
        <v>2.040628098570222E-2</v>
      </c>
      <c r="AC15" s="227">
        <f t="shared" si="70"/>
        <v>4.9835914743550331</v>
      </c>
      <c r="AE15" s="228">
        <f t="shared" si="71"/>
        <v>2.6926390657270618</v>
      </c>
      <c r="AF15" s="228">
        <f t="shared" si="72"/>
        <v>2.8593302</v>
      </c>
      <c r="AG15" s="228">
        <f t="shared" si="73"/>
        <v>2.6926390657270618</v>
      </c>
      <c r="AH15" s="228">
        <f t="shared" si="74"/>
        <v>3.6614071842786311</v>
      </c>
      <c r="AI15" s="228">
        <f t="shared" si="75"/>
        <v>2.8593302</v>
      </c>
      <c r="AJ15" s="228">
        <f t="shared" si="76"/>
        <v>3.1039098264539402</v>
      </c>
      <c r="AK15" s="228">
        <f t="shared" si="77"/>
        <v>3.3637233976854595</v>
      </c>
      <c r="AL15" s="228">
        <f t="shared" si="78"/>
        <v>3.0332827056960219</v>
      </c>
      <c r="AM15" s="228">
        <f t="shared" si="79"/>
        <v>0.36544829298687764</v>
      </c>
      <c r="AN15" s="228">
        <f t="shared" si="80"/>
        <v>12.047947008059088</v>
      </c>
      <c r="AP15" s="229">
        <f t="shared" si="81"/>
        <v>1.329299812030075</v>
      </c>
      <c r="AQ15" s="229">
        <f t="shared" si="82"/>
        <v>1.3695267175572519</v>
      </c>
      <c r="AR15" s="229">
        <f t="shared" si="83"/>
        <v>1.3221907644309132</v>
      </c>
      <c r="AS15" s="229">
        <f t="shared" si="84"/>
        <v>1.3550715177025778</v>
      </c>
      <c r="AT15" s="229">
        <f t="shared" si="85"/>
        <v>1.329299812030075</v>
      </c>
      <c r="AU15" s="229">
        <f t="shared" si="86"/>
        <v>0.41517282503042985</v>
      </c>
      <c r="AV15" s="229">
        <f t="shared" si="87"/>
        <v>1.3695267175572519</v>
      </c>
      <c r="AW15" s="229">
        <f t="shared" si="88"/>
        <v>1.4413022405432472</v>
      </c>
      <c r="AX15" s="229">
        <f t="shared" si="89"/>
        <v>1.4921180794112798</v>
      </c>
      <c r="AY15" s="229">
        <f t="shared" si="90"/>
        <v>1.2692787206992335</v>
      </c>
      <c r="AZ15" s="229">
        <f t="shared" si="91"/>
        <v>0.32523276763220521</v>
      </c>
      <c r="BA15" s="229">
        <f t="shared" si="92"/>
        <v>25.623431822211408</v>
      </c>
      <c r="BC15" s="230">
        <f t="shared" si="93"/>
        <v>4.2215075000000031</v>
      </c>
      <c r="BD15" s="230">
        <f t="shared" si="94"/>
        <v>12.324011264430913</v>
      </c>
      <c r="BE15" s="230">
        <f t="shared" si="95"/>
        <v>4.2215075000000031</v>
      </c>
      <c r="BF15" s="230">
        <f t="shared" si="96"/>
        <v>3.1690903210942878</v>
      </c>
      <c r="BG15" s="230">
        <f t="shared" si="97"/>
        <v>5.9840291463813013</v>
      </c>
      <c r="BH15" s="230">
        <f t="shared" si="98"/>
        <v>4.2556714689624231</v>
      </c>
      <c r="BI15" s="230">
        <f t="shared" si="99"/>
        <v>71.117158103013907</v>
      </c>
      <c r="BK15" s="227">
        <f t="shared" si="6"/>
        <v>7.0057807692307685</v>
      </c>
      <c r="BL15" s="227">
        <f t="shared" si="7"/>
        <v>16.742210332508144</v>
      </c>
      <c r="BM15" s="227">
        <f t="shared" si="8"/>
        <v>14.893612810129385</v>
      </c>
      <c r="BN15" s="227">
        <f t="shared" si="9"/>
        <v>14.768346885162888</v>
      </c>
      <c r="BO15" s="227">
        <f t="shared" si="10"/>
        <v>7.0057807692307685</v>
      </c>
      <c r="BP15" s="227">
        <f t="shared" si="11"/>
        <v>14.520480790012236</v>
      </c>
      <c r="BQ15" s="227">
        <f t="shared" si="12"/>
        <v>14.016121739809465</v>
      </c>
      <c r="BR15" s="227">
        <f t="shared" si="100"/>
        <v>12.70747629944052</v>
      </c>
      <c r="BS15" s="227">
        <f t="shared" si="101"/>
        <v>3.9858847019182648</v>
      </c>
      <c r="BT15" s="227">
        <f t="shared" si="13"/>
        <v>31.366453951944447</v>
      </c>
      <c r="BV15" s="231">
        <f t="shared" si="102"/>
        <v>0.15655253209523839</v>
      </c>
      <c r="BW15" s="231">
        <f t="shared" si="103"/>
        <v>0.19414965563052738</v>
      </c>
      <c r="BX15" s="231">
        <f t="shared" si="104"/>
        <v>0.20754616672156331</v>
      </c>
      <c r="BY15" s="231">
        <f t="shared" si="105"/>
        <v>0.15655253209523839</v>
      </c>
      <c r="BZ15" s="231">
        <f t="shared" si="106"/>
        <v>0.18434147779649387</v>
      </c>
      <c r="CA15" s="231">
        <f t="shared" si="107"/>
        <v>0.19824128500307797</v>
      </c>
      <c r="CB15" s="231">
        <f t="shared" si="108"/>
        <v>0.29295756783026911</v>
      </c>
      <c r="CC15" s="231">
        <f t="shared" si="109"/>
        <v>0.34523319201627944</v>
      </c>
      <c r="CD15" s="231">
        <f t="shared" si="110"/>
        <v>0.216946801148586</v>
      </c>
      <c r="CE15" s="231">
        <f t="shared" si="111"/>
        <v>6.7136380832428968E-2</v>
      </c>
      <c r="CF15" s="231">
        <f t="shared" si="14"/>
        <v>30.946010946917596</v>
      </c>
      <c r="CH15" s="232">
        <f t="shared" si="112"/>
        <v>0.90475789344157875</v>
      </c>
      <c r="CI15" s="232">
        <f t="shared" si="113"/>
        <v>0.91507323809523811</v>
      </c>
      <c r="CJ15" s="232">
        <f t="shared" si="114"/>
        <v>1.5429684358012734</v>
      </c>
      <c r="CK15" s="232">
        <f t="shared" si="115"/>
        <v>1.0684917857258811</v>
      </c>
      <c r="CL15" s="232">
        <f t="shared" si="116"/>
        <v>1.0166140102009957</v>
      </c>
      <c r="CM15" s="232">
        <f t="shared" si="117"/>
        <v>0.90475789344157875</v>
      </c>
      <c r="CN15" s="232">
        <f t="shared" si="118"/>
        <v>0.90475789344157875</v>
      </c>
      <c r="CO15" s="232">
        <f t="shared" si="119"/>
        <v>1.0161636141439425</v>
      </c>
      <c r="CP15" s="232">
        <f t="shared" si="120"/>
        <v>0.91507323809523811</v>
      </c>
      <c r="CQ15" s="232">
        <f t="shared" si="121"/>
        <v>1.0144093216877061</v>
      </c>
      <c r="CR15" s="232">
        <f t="shared" si="122"/>
        <v>1.020306732407501</v>
      </c>
      <c r="CS15" s="232">
        <f t="shared" si="123"/>
        <v>0.19372529687583398</v>
      </c>
      <c r="CT15" s="232">
        <f t="shared" si="15"/>
        <v>18.986966440839076</v>
      </c>
      <c r="CV15" s="229">
        <f t="shared" si="16"/>
        <v>0.44256980952380937</v>
      </c>
      <c r="CW15" s="229">
        <f t="shared" si="17"/>
        <v>0.6158061486043318</v>
      </c>
      <c r="CX15" s="229">
        <f t="shared" si="18"/>
        <v>0.3084720231334096</v>
      </c>
      <c r="CY15" s="229">
        <f t="shared" si="19"/>
        <v>0.40605870030388147</v>
      </c>
      <c r="CZ15" s="229">
        <f t="shared" si="20"/>
        <v>0.68350903598059187</v>
      </c>
      <c r="DA15" s="229">
        <f t="shared" si="21"/>
        <v>0.44256980952380937</v>
      </c>
      <c r="DB15" s="229">
        <f t="shared" si="22"/>
        <v>0.27760908834264092</v>
      </c>
      <c r="DC15" s="229">
        <f t="shared" si="23"/>
        <v>0.60236786561082922</v>
      </c>
      <c r="DD15" s="229">
        <f t="shared" si="24"/>
        <v>0.47237031012791292</v>
      </c>
      <c r="DE15" s="229">
        <f t="shared" si="25"/>
        <v>0.1478516230195713</v>
      </c>
      <c r="DF15" s="229">
        <f t="shared" si="26"/>
        <v>31.299939866994315</v>
      </c>
      <c r="DH15" s="234">
        <f t="shared" si="124"/>
        <v>1.6279999999999999E-2</v>
      </c>
      <c r="DI15" s="234">
        <f t="shared" si="125"/>
        <v>2.1999999999999999E-2</v>
      </c>
      <c r="DJ15" s="234">
        <f t="shared" si="126"/>
        <v>6.8635893952233407E-2</v>
      </c>
      <c r="DK15" s="234">
        <f t="shared" si="27"/>
        <v>3.5638631317411136E-2</v>
      </c>
      <c r="DL15" s="234">
        <f t="shared" si="28"/>
        <v>2.8719228855308396E-2</v>
      </c>
      <c r="DM15" s="234">
        <f t="shared" si="29"/>
        <v>80.58454489883205</v>
      </c>
      <c r="DO15" s="229">
        <f t="shared" si="127"/>
        <v>1.6810500000000004</v>
      </c>
      <c r="DP15" s="229">
        <f t="shared" si="128"/>
        <v>2.1403667404703604</v>
      </c>
      <c r="DQ15" s="229">
        <f t="shared" si="129"/>
        <v>1.1307944358783468</v>
      </c>
      <c r="DR15" s="229">
        <f t="shared" si="130"/>
        <v>1.9709670277236877</v>
      </c>
      <c r="DS15" s="229">
        <f t="shared" si="131"/>
        <v>1.8182077993100547</v>
      </c>
      <c r="DT15" s="229">
        <f t="shared" si="132"/>
        <v>1.6810500000000004</v>
      </c>
      <c r="DU15" s="229">
        <f t="shared" si="133"/>
        <v>-0.14991140999999999</v>
      </c>
      <c r="DV15" s="229">
        <f t="shared" si="134"/>
        <v>1.1220676353587884</v>
      </c>
      <c r="DW15" s="229">
        <f t="shared" si="30"/>
        <v>1.4243240285926548</v>
      </c>
      <c r="DX15" s="229">
        <f t="shared" si="31"/>
        <v>0.73233797550112245</v>
      </c>
      <c r="DY15" s="229">
        <f t="shared" si="32"/>
        <v>51.416528879649007</v>
      </c>
      <c r="EA15" s="235">
        <f t="shared" si="135"/>
        <v>8.5179506641366184E-2</v>
      </c>
      <c r="EB15" s="235">
        <f t="shared" si="136"/>
        <v>0.11809023160131843</v>
      </c>
      <c r="EC15" s="235">
        <f t="shared" si="137"/>
        <v>8.5179506641366184E-2</v>
      </c>
      <c r="ED15" s="235">
        <f t="shared" si="138"/>
        <v>8.5732218458756768E-2</v>
      </c>
      <c r="EE15" s="235">
        <f t="shared" si="139"/>
        <v>8.9612604892880934E-2</v>
      </c>
      <c r="EF15" s="235">
        <f t="shared" si="140"/>
        <v>9.27588136471377E-2</v>
      </c>
      <c r="EG15" s="235">
        <f t="shared" si="141"/>
        <v>1.4281493220349903E-2</v>
      </c>
      <c r="EH15" s="235">
        <f t="shared" si="33"/>
        <v>15.396373302787053</v>
      </c>
      <c r="EJ15" s="229">
        <f t="shared" si="142"/>
        <v>6.0134935589519696</v>
      </c>
      <c r="EK15" s="229">
        <f t="shared" si="143"/>
        <v>10.174816281059506</v>
      </c>
      <c r="EL15" s="229">
        <f t="shared" si="144"/>
        <v>5.5071501000000049</v>
      </c>
      <c r="EM15" s="229">
        <f t="shared" si="145"/>
        <v>9.7934148265315883</v>
      </c>
      <c r="EN15" s="229">
        <f t="shared" si="146"/>
        <v>8.9736117907465562</v>
      </c>
      <c r="EO15" s="229">
        <f t="shared" si="34"/>
        <v>9.4534820807824254</v>
      </c>
      <c r="EP15" s="229">
        <f t="shared" si="147"/>
        <v>6.0793811932269888</v>
      </c>
      <c r="EQ15" s="229">
        <f t="shared" si="148"/>
        <v>7.9993356901855757</v>
      </c>
      <c r="ER15" s="229">
        <f t="shared" si="149"/>
        <v>2.0353531491551249</v>
      </c>
      <c r="ES15" s="229">
        <f t="shared" si="35"/>
        <v>25.444027204062831</v>
      </c>
      <c r="EU15" s="238">
        <f t="shared" si="191"/>
        <v>8.1649732003482387E-3</v>
      </c>
      <c r="EV15" s="238">
        <f t="shared" si="151"/>
        <v>8.1649732003482387E-3</v>
      </c>
      <c r="EW15" s="238" t="e">
        <f t="shared" si="152"/>
        <v>#DIV/0!</v>
      </c>
      <c r="EX15" s="238" t="e">
        <f t="shared" si="36"/>
        <v>#DIV/0!</v>
      </c>
      <c r="EZ15" s="240">
        <f t="shared" si="153"/>
        <v>1.5646501220155419E-4</v>
      </c>
      <c r="FA15" s="240">
        <f t="shared" si="154"/>
        <v>1.5646501220155419E-4</v>
      </c>
      <c r="FB15" s="240" t="e">
        <f t="shared" si="155"/>
        <v>#DIV/0!</v>
      </c>
      <c r="FC15" s="240" t="e">
        <f t="shared" si="37"/>
        <v>#DIV/0!</v>
      </c>
      <c r="FE15" s="236">
        <f t="shared" si="156"/>
        <v>0.36824932980769215</v>
      </c>
      <c r="FF15" s="236">
        <f t="shared" si="157"/>
        <v>0.73633532096480736</v>
      </c>
      <c r="FG15" s="236">
        <f t="shared" si="158"/>
        <v>0.68238568763435303</v>
      </c>
      <c r="FH15" s="236">
        <f t="shared" si="159"/>
        <v>0.67361028789023181</v>
      </c>
      <c r="FI15" s="236">
        <f t="shared" si="160"/>
        <v>0.9</v>
      </c>
      <c r="FJ15" s="236">
        <f t="shared" si="161"/>
        <v>0.72730715240183452</v>
      </c>
      <c r="FK15" s="236">
        <f t="shared" si="38"/>
        <v>0.68131462978315316</v>
      </c>
      <c r="FL15" s="236">
        <f t="shared" si="39"/>
        <v>0.1738023393625443</v>
      </c>
      <c r="FM15" s="236">
        <f t="shared" si="40"/>
        <v>25.509849893853243</v>
      </c>
      <c r="FO15" s="227">
        <f t="shared" si="162"/>
        <v>0.15791902912621361</v>
      </c>
      <c r="FP15" s="227">
        <f t="shared" si="163"/>
        <v>0.21006550392272946</v>
      </c>
      <c r="FQ15" s="227">
        <f t="shared" si="164"/>
        <v>0.21135031795831072</v>
      </c>
      <c r="FR15" s="227">
        <f t="shared" si="165"/>
        <v>0.15791902912621361</v>
      </c>
      <c r="FS15" s="227">
        <f t="shared" si="166"/>
        <v>0.18371189669733592</v>
      </c>
      <c r="FT15" s="227">
        <f t="shared" si="41"/>
        <v>0.18419315536616065</v>
      </c>
      <c r="FU15" s="227">
        <f t="shared" si="42"/>
        <v>2.6399720306950005E-2</v>
      </c>
      <c r="FV15" s="227">
        <f t="shared" si="43"/>
        <v>14.332628296892768</v>
      </c>
      <c r="FX15" s="230">
        <f t="shared" si="167"/>
        <v>1.4673619416000014</v>
      </c>
      <c r="FY15" s="230">
        <f t="shared" si="168"/>
        <v>0.8573221845875677</v>
      </c>
      <c r="FZ15" s="230">
        <f t="shared" si="169"/>
        <v>1.4673619416000014</v>
      </c>
      <c r="GA15" s="230">
        <f t="shared" si="170"/>
        <v>1.6101388166313071</v>
      </c>
      <c r="GB15" s="230">
        <f t="shared" si="44"/>
        <v>1.3505462211047194</v>
      </c>
      <c r="GC15" s="230">
        <f t="shared" si="45"/>
        <v>0.33563377410513229</v>
      </c>
      <c r="GD15" s="230">
        <f t="shared" si="46"/>
        <v>24.851705840218536</v>
      </c>
      <c r="GF15" s="231">
        <f t="shared" si="171"/>
        <v>1.7035523809523813E-2</v>
      </c>
      <c r="GG15" s="231">
        <f t="shared" si="172"/>
        <v>3.2275886743039904E-2</v>
      </c>
      <c r="GH15" s="231">
        <f t="shared" si="173"/>
        <v>0.06</v>
      </c>
      <c r="GI15" s="231">
        <f t="shared" si="174"/>
        <v>7.2572367832690228E-3</v>
      </c>
      <c r="GJ15" s="245">
        <f t="shared" si="187"/>
        <v>2.9142161833958184E-2</v>
      </c>
      <c r="GK15" s="231">
        <f t="shared" si="188"/>
        <v>2.3003963693360826E-2</v>
      </c>
      <c r="GL15" s="231">
        <f t="shared" si="47"/>
        <v>78.937052866665638</v>
      </c>
      <c r="GN15" s="246">
        <f t="shared" si="175"/>
        <v>9.3925769230769313E-2</v>
      </c>
      <c r="GO15" s="246">
        <f t="shared" si="176"/>
        <v>9.3925769230769313E-2</v>
      </c>
      <c r="GP15" s="246">
        <f t="shared" si="177"/>
        <v>8.5732218458756768E-2</v>
      </c>
      <c r="GQ15" s="247">
        <f t="shared" si="189"/>
        <v>9.1194585640098469E-2</v>
      </c>
      <c r="GR15" s="246">
        <f t="shared" si="190"/>
        <v>4.730548743840309E-3</v>
      </c>
      <c r="GS15" s="246">
        <f t="shared" si="48"/>
        <v>5.1873131618904749</v>
      </c>
      <c r="GU15" s="249">
        <f t="shared" si="178"/>
        <v>1.1186013265571121E-2</v>
      </c>
      <c r="GV15" s="249">
        <f t="shared" si="179"/>
        <v>1.1186013265571121E-2</v>
      </c>
      <c r="GW15" s="249" t="e">
        <f t="shared" si="180"/>
        <v>#DIV/0!</v>
      </c>
      <c r="GX15" s="249" t="e">
        <f t="shared" si="49"/>
        <v>#DIV/0!</v>
      </c>
      <c r="GZ15" s="240">
        <f t="shared" si="181"/>
        <v>1.2247459779822396E-2</v>
      </c>
      <c r="HA15" s="240">
        <f t="shared" si="182"/>
        <v>1.2247459779822396E-2</v>
      </c>
      <c r="HB15" s="240" t="e">
        <f t="shared" si="183"/>
        <v>#DIV/0!</v>
      </c>
      <c r="HC15" s="240" t="e">
        <f t="shared" si="50"/>
        <v>#DIV/0!</v>
      </c>
      <c r="HE15" s="234">
        <f t="shared" si="184"/>
        <v>4.8151390459962161E-2</v>
      </c>
      <c r="HF15" s="251">
        <f t="shared" si="185"/>
        <v>4.8151390459962161E-2</v>
      </c>
      <c r="HG15" s="234" t="e">
        <f t="shared" si="186"/>
        <v>#DIV/0!</v>
      </c>
      <c r="HH15" s="234" t="e">
        <f t="shared" si="51"/>
        <v>#DIV/0!</v>
      </c>
    </row>
    <row r="16" spans="1:216" ht="15.6" x14ac:dyDescent="0.25">
      <c r="B16">
        <v>12</v>
      </c>
      <c r="C16" s="124">
        <f t="shared" si="52"/>
        <v>45.818997950611347</v>
      </c>
      <c r="D16" s="124">
        <f t="shared" si="53"/>
        <v>154.28928379558209</v>
      </c>
      <c r="E16" s="29">
        <f t="shared" si="54"/>
        <v>1.426397006105288</v>
      </c>
      <c r="F16" s="29">
        <f t="shared" si="0"/>
        <v>1.4088155169402854</v>
      </c>
      <c r="G16" s="29">
        <f t="shared" si="1"/>
        <v>1.4118845509033937</v>
      </c>
      <c r="H16" s="29">
        <f t="shared" si="2"/>
        <v>1.426397006105288</v>
      </c>
      <c r="I16" s="29">
        <f t="shared" si="3"/>
        <v>1.3987719312003359</v>
      </c>
      <c r="J16" s="125">
        <f t="shared" si="4"/>
        <v>1.4144532022509182</v>
      </c>
      <c r="K16" s="126">
        <f t="shared" si="5"/>
        <v>1.1933069892027049E-2</v>
      </c>
      <c r="L16" s="126">
        <f t="shared" si="55"/>
        <v>0.84365250635631639</v>
      </c>
      <c r="N16" s="138">
        <f t="shared" si="56"/>
        <v>297.03517247269281</v>
      </c>
      <c r="O16" s="138">
        <f t="shared" si="57"/>
        <v>374.1644</v>
      </c>
      <c r="P16" s="138">
        <f t="shared" si="58"/>
        <v>290.95284413154405</v>
      </c>
      <c r="Q16" s="138">
        <f t="shared" si="59"/>
        <v>277.50384508341949</v>
      </c>
      <c r="R16" s="138">
        <f t="shared" si="60"/>
        <v>297.03517247269281</v>
      </c>
      <c r="S16" s="138">
        <f t="shared" si="61"/>
        <v>324.41524908295975</v>
      </c>
      <c r="T16" s="138">
        <f t="shared" si="62"/>
        <v>310.18444720721817</v>
      </c>
      <c r="U16" s="138">
        <f t="shared" si="63"/>
        <v>34.870139791849191</v>
      </c>
      <c r="V16" s="138">
        <f t="shared" si="64"/>
        <v>11.241743454840035</v>
      </c>
      <c r="X16" s="227">
        <f t="shared" si="65"/>
        <v>0.40232399520000001</v>
      </c>
      <c r="Y16" s="227">
        <f t="shared" si="66"/>
        <v>0.43785380762367465</v>
      </c>
      <c r="Z16" s="227">
        <f t="shared" si="67"/>
        <v>0.40232399520000001</v>
      </c>
      <c r="AA16" s="227">
        <f t="shared" si="68"/>
        <v>0.4141672660078915</v>
      </c>
      <c r="AB16" s="227">
        <f t="shared" si="69"/>
        <v>2.0513146767065466E-2</v>
      </c>
      <c r="AC16" s="227">
        <f t="shared" si="70"/>
        <v>4.9528652915497702</v>
      </c>
      <c r="AE16" s="228">
        <f t="shared" si="71"/>
        <v>2.9433447015146172</v>
      </c>
      <c r="AF16" s="228">
        <f t="shared" si="72"/>
        <v>3.3045663999999988</v>
      </c>
      <c r="AG16" s="228">
        <f t="shared" si="73"/>
        <v>2.9433447015146172</v>
      </c>
      <c r="AH16" s="228">
        <f t="shared" si="74"/>
        <v>4.1092293958784696</v>
      </c>
      <c r="AI16" s="228">
        <f t="shared" si="75"/>
        <v>3.3045663999999988</v>
      </c>
      <c r="AJ16" s="228">
        <f t="shared" si="76"/>
        <v>3.4850484487667606</v>
      </c>
      <c r="AK16" s="228">
        <f t="shared" si="77"/>
        <v>3.6793671353731674</v>
      </c>
      <c r="AL16" s="228">
        <f t="shared" si="78"/>
        <v>3.395638169006804</v>
      </c>
      <c r="AM16" s="228">
        <f t="shared" si="79"/>
        <v>0.41300437028409098</v>
      </c>
      <c r="AN16" s="228">
        <f t="shared" si="80"/>
        <v>12.16279090197915</v>
      </c>
      <c r="AP16" s="229">
        <f t="shared" si="81"/>
        <v>1.3380052151238593</v>
      </c>
      <c r="AQ16" s="229">
        <f t="shared" si="82"/>
        <v>1.3758026360256843</v>
      </c>
      <c r="AR16" s="229">
        <f t="shared" si="83"/>
        <v>1.3083964830871713</v>
      </c>
      <c r="AS16" s="229">
        <f t="shared" si="84"/>
        <v>1.3799039627303895</v>
      </c>
      <c r="AT16" s="229">
        <f t="shared" si="85"/>
        <v>1.3380052151238593</v>
      </c>
      <c r="AU16" s="229">
        <f t="shared" si="86"/>
        <v>0.39871776427892541</v>
      </c>
      <c r="AV16" s="229">
        <f t="shared" si="87"/>
        <v>1.3758026360256843</v>
      </c>
      <c r="AW16" s="229">
        <f t="shared" si="88"/>
        <v>1.4443983261280309</v>
      </c>
      <c r="AX16" s="229">
        <f t="shared" si="89"/>
        <v>1.4897508974548295</v>
      </c>
      <c r="AY16" s="229">
        <f t="shared" si="90"/>
        <v>1.2720870151087147</v>
      </c>
      <c r="AZ16" s="229">
        <f t="shared" si="91"/>
        <v>0.33222540386166316</v>
      </c>
      <c r="BA16" s="229">
        <f t="shared" si="92"/>
        <v>26.116562775642404</v>
      </c>
      <c r="BC16" s="230">
        <f t="shared" si="93"/>
        <v>5.1098352000000036</v>
      </c>
      <c r="BD16" s="230">
        <f t="shared" si="94"/>
        <v>13.274476983087171</v>
      </c>
      <c r="BE16" s="230">
        <f t="shared" si="95"/>
        <v>5.1098352000000036</v>
      </c>
      <c r="BF16" s="230">
        <f t="shared" si="96"/>
        <v>3.751889319303511</v>
      </c>
      <c r="BG16" s="230">
        <f t="shared" si="97"/>
        <v>6.8115091755976724</v>
      </c>
      <c r="BH16" s="230">
        <f t="shared" si="98"/>
        <v>4.3559390562054405</v>
      </c>
      <c r="BI16" s="230">
        <f t="shared" si="99"/>
        <v>63.949690794085015</v>
      </c>
      <c r="BK16" s="227">
        <f t="shared" si="6"/>
        <v>8.3497192307692298</v>
      </c>
      <c r="BL16" s="227">
        <f t="shared" si="7"/>
        <v>18.606720682488927</v>
      </c>
      <c r="BM16" s="227">
        <f t="shared" si="8"/>
        <v>16.956205864702397</v>
      </c>
      <c r="BN16" s="227">
        <f t="shared" si="9"/>
        <v>16.442711614592518</v>
      </c>
      <c r="BO16" s="227">
        <f t="shared" si="10"/>
        <v>8.3497192307692298</v>
      </c>
      <c r="BP16" s="227">
        <f t="shared" si="11"/>
        <v>16.547585515854696</v>
      </c>
      <c r="BQ16" s="227">
        <f t="shared" si="12"/>
        <v>16.049528965964338</v>
      </c>
      <c r="BR16" s="227">
        <f t="shared" si="100"/>
        <v>14.471741586448761</v>
      </c>
      <c r="BS16" s="227">
        <f t="shared" si="101"/>
        <v>4.2605201992154811</v>
      </c>
      <c r="BT16" s="227">
        <f t="shared" si="13"/>
        <v>29.440272781024525</v>
      </c>
      <c r="BV16" s="231">
        <f t="shared" si="102"/>
        <v>0.17176030323809566</v>
      </c>
      <c r="BW16" s="231">
        <f t="shared" si="103"/>
        <v>0.21113791182509034</v>
      </c>
      <c r="BX16" s="231">
        <f t="shared" si="104"/>
        <v>0.22422913899672947</v>
      </c>
      <c r="BY16" s="231">
        <f t="shared" si="105"/>
        <v>0.17176030323809566</v>
      </c>
      <c r="BZ16" s="231">
        <f t="shared" si="106"/>
        <v>0.20406125153803725</v>
      </c>
      <c r="CA16" s="231">
        <f t="shared" si="107"/>
        <v>0.21536045095075212</v>
      </c>
      <c r="CB16" s="231">
        <f t="shared" si="108"/>
        <v>0.32020662163849767</v>
      </c>
      <c r="CC16" s="231">
        <f t="shared" si="109"/>
        <v>0.36841201297279724</v>
      </c>
      <c r="CD16" s="231">
        <f t="shared" si="110"/>
        <v>0.23586599929976193</v>
      </c>
      <c r="CE16" s="231">
        <f t="shared" si="111"/>
        <v>7.0791223400066619E-2</v>
      </c>
      <c r="CF16" s="231">
        <f t="shared" si="14"/>
        <v>30.013322653638646</v>
      </c>
      <c r="CH16" s="232">
        <f t="shared" si="112"/>
        <v>0.98998045439669102</v>
      </c>
      <c r="CI16" s="232">
        <f t="shared" si="113"/>
        <v>1.0105904761904738</v>
      </c>
      <c r="CJ16" s="232">
        <f t="shared" si="114"/>
        <v>1.6274320593247391</v>
      </c>
      <c r="CK16" s="232">
        <f t="shared" si="115"/>
        <v>1.1859850575520332</v>
      </c>
      <c r="CL16" s="232">
        <f t="shared" si="116"/>
        <v>1.1442814486750206</v>
      </c>
      <c r="CM16" s="232">
        <f t="shared" si="117"/>
        <v>0.98998045439669102</v>
      </c>
      <c r="CN16" s="232">
        <f t="shared" si="118"/>
        <v>0.98998045439669102</v>
      </c>
      <c r="CO16" s="232">
        <f t="shared" si="119"/>
        <v>1.1185254936302893</v>
      </c>
      <c r="CP16" s="232">
        <f t="shared" si="120"/>
        <v>1.0105904761904738</v>
      </c>
      <c r="CQ16" s="232">
        <f t="shared" si="121"/>
        <v>1.0839847237877658</v>
      </c>
      <c r="CR16" s="232">
        <f t="shared" si="122"/>
        <v>1.1151331098540869</v>
      </c>
      <c r="CS16" s="232">
        <f t="shared" si="123"/>
        <v>0.19383539810030431</v>
      </c>
      <c r="CT16" s="232">
        <f t="shared" si="15"/>
        <v>17.382265523948735</v>
      </c>
      <c r="CV16" s="229">
        <f t="shared" si="16"/>
        <v>0.48467676190476167</v>
      </c>
      <c r="CW16" s="229">
        <f t="shared" si="17"/>
        <v>0.67160504934806697</v>
      </c>
      <c r="CX16" s="229">
        <f t="shared" si="18"/>
        <v>0.35486623589412924</v>
      </c>
      <c r="CY16" s="229">
        <f t="shared" si="19"/>
        <v>0.43106139052425452</v>
      </c>
      <c r="CZ16" s="229">
        <f t="shared" si="20"/>
        <v>0.75671154580085642</v>
      </c>
      <c r="DA16" s="229">
        <f t="shared" si="21"/>
        <v>0.48467676190476167</v>
      </c>
      <c r="DB16" s="229">
        <f t="shared" si="22"/>
        <v>0.31156918606415712</v>
      </c>
      <c r="DC16" s="229">
        <f t="shared" si="23"/>
        <v>0.65784505310696895</v>
      </c>
      <c r="DD16" s="229">
        <f t="shared" si="24"/>
        <v>0.51912649806849454</v>
      </c>
      <c r="DE16" s="229">
        <f t="shared" si="25"/>
        <v>0.1599686149238593</v>
      </c>
      <c r="DF16" s="229">
        <f t="shared" si="26"/>
        <v>30.814958496445836</v>
      </c>
      <c r="DH16" s="234">
        <f t="shared" si="124"/>
        <v>1.7759999999999998E-2</v>
      </c>
      <c r="DI16" s="234">
        <f t="shared" si="125"/>
        <v>2.4E-2</v>
      </c>
      <c r="DJ16" s="234">
        <f t="shared" si="126"/>
        <v>7.5198930005575759E-2</v>
      </c>
      <c r="DK16" s="234">
        <f t="shared" si="27"/>
        <v>3.8986310001858586E-2</v>
      </c>
      <c r="DL16" s="234">
        <f t="shared" si="28"/>
        <v>3.151586561797428E-2</v>
      </c>
      <c r="DM16" s="234">
        <f t="shared" si="29"/>
        <v>80.83828814902418</v>
      </c>
      <c r="DO16" s="229">
        <f t="shared" si="127"/>
        <v>1.7770623999999999</v>
      </c>
      <c r="DP16" s="229">
        <f t="shared" si="128"/>
        <v>2.3340243471299531</v>
      </c>
      <c r="DQ16" s="229">
        <f t="shared" si="129"/>
        <v>1.3831772276360652</v>
      </c>
      <c r="DR16" s="229">
        <f t="shared" si="130"/>
        <v>2.1216798033763773</v>
      </c>
      <c r="DS16" s="229">
        <f t="shared" si="131"/>
        <v>1.9115777850390754</v>
      </c>
      <c r="DT16" s="229">
        <f t="shared" si="132"/>
        <v>1.7770623999999999</v>
      </c>
      <c r="DU16" s="229">
        <f t="shared" si="133"/>
        <v>-0.14428655999999995</v>
      </c>
      <c r="DV16" s="229">
        <f t="shared" si="134"/>
        <v>1.3230668166264206</v>
      </c>
      <c r="DW16" s="229">
        <f t="shared" si="30"/>
        <v>1.5604205274759866</v>
      </c>
      <c r="DX16" s="229">
        <f t="shared" si="31"/>
        <v>0.76759661015509451</v>
      </c>
      <c r="DY16" s="229">
        <f t="shared" si="32"/>
        <v>49.191650368551507</v>
      </c>
      <c r="EA16" s="235">
        <f t="shared" si="135"/>
        <v>9.496432637571145E-2</v>
      </c>
      <c r="EB16" s="235">
        <f t="shared" si="136"/>
        <v>0.13126172381319387</v>
      </c>
      <c r="EC16" s="235">
        <f t="shared" si="137"/>
        <v>9.496432637571145E-2</v>
      </c>
      <c r="ED16" s="235">
        <f t="shared" si="138"/>
        <v>9.6219895696283822E-2</v>
      </c>
      <c r="EE16" s="235">
        <f t="shared" si="139"/>
        <v>9.7095649083681873E-2</v>
      </c>
      <c r="EF16" s="235">
        <f t="shared" si="140"/>
        <v>0.10290118426891651</v>
      </c>
      <c r="EG16" s="235">
        <f t="shared" si="141"/>
        <v>1.5879637003519281E-2</v>
      </c>
      <c r="EH16" s="235">
        <f t="shared" si="33"/>
        <v>15.431928326519817</v>
      </c>
      <c r="EJ16" s="229">
        <f t="shared" si="142"/>
        <v>7.1274777292576443</v>
      </c>
      <c r="EK16" s="229">
        <f t="shared" si="143"/>
        <v>11.462088618380113</v>
      </c>
      <c r="EL16" s="229">
        <f t="shared" si="144"/>
        <v>6.5273295999999998</v>
      </c>
      <c r="EM16" s="229">
        <f t="shared" si="145"/>
        <v>10.355994001640406</v>
      </c>
      <c r="EN16" s="229">
        <f t="shared" si="146"/>
        <v>9.8054308376215964</v>
      </c>
      <c r="EO16" s="229">
        <f t="shared" si="34"/>
        <v>10.572962259963344</v>
      </c>
      <c r="EP16" s="229">
        <f t="shared" si="147"/>
        <v>6.4995698071435202</v>
      </c>
      <c r="EQ16" s="229">
        <f t="shared" si="148"/>
        <v>8.9072646934295179</v>
      </c>
      <c r="ER16" s="229">
        <f t="shared" si="149"/>
        <v>2.1148648520224622</v>
      </c>
      <c r="ES16" s="229">
        <f t="shared" si="35"/>
        <v>23.743145901822153</v>
      </c>
      <c r="EU16" s="238">
        <f t="shared" si="191"/>
        <v>9.1637995921768564E-3</v>
      </c>
      <c r="EV16" s="238">
        <f t="shared" si="151"/>
        <v>9.1637995921768564E-3</v>
      </c>
      <c r="EW16" s="238" t="e">
        <f t="shared" si="152"/>
        <v>#DIV/0!</v>
      </c>
      <c r="EX16" s="238" t="e">
        <f t="shared" si="36"/>
        <v>#DIV/0!</v>
      </c>
      <c r="EZ16" s="240">
        <f t="shared" si="153"/>
        <v>7.0182766459376135E-4</v>
      </c>
      <c r="FA16" s="240">
        <f t="shared" si="154"/>
        <v>7.0182766459376135E-4</v>
      </c>
      <c r="FB16" s="240" t="e">
        <f t="shared" si="155"/>
        <v>#DIV/0!</v>
      </c>
      <c r="FC16" s="240" t="e">
        <f t="shared" si="37"/>
        <v>#DIV/0!</v>
      </c>
      <c r="FE16" s="236">
        <f t="shared" si="156"/>
        <v>0.43083046923076895</v>
      </c>
      <c r="FF16" s="236">
        <f t="shared" si="157"/>
        <v>0.80414563118054516</v>
      </c>
      <c r="FG16" s="236">
        <f t="shared" si="158"/>
        <v>0.76891714402621691</v>
      </c>
      <c r="FH16" s="236">
        <f t="shared" si="159"/>
        <v>0.75601346618508725</v>
      </c>
      <c r="FI16" s="236">
        <f t="shared" si="160"/>
        <v>0.9</v>
      </c>
      <c r="FJ16" s="236">
        <f t="shared" si="161"/>
        <v>0.79123324697777953</v>
      </c>
      <c r="FK16" s="236">
        <f t="shared" si="38"/>
        <v>0.7418566596000663</v>
      </c>
      <c r="FL16" s="236">
        <f t="shared" si="39"/>
        <v>0.1606220754193983</v>
      </c>
      <c r="FM16" s="236">
        <f t="shared" si="40"/>
        <v>21.651362610398266</v>
      </c>
      <c r="FO16" s="227">
        <f t="shared" si="162"/>
        <v>0.17823339805825253</v>
      </c>
      <c r="FP16" s="227">
        <f t="shared" si="163"/>
        <v>0.22593311911003822</v>
      </c>
      <c r="FQ16" s="227">
        <f t="shared" si="164"/>
        <v>0.23216008308098215</v>
      </c>
      <c r="FR16" s="227">
        <f t="shared" si="165"/>
        <v>0.17823339805825253</v>
      </c>
      <c r="FS16" s="227">
        <f t="shared" si="166"/>
        <v>0.20618549077775106</v>
      </c>
      <c r="FT16" s="227">
        <f t="shared" si="41"/>
        <v>0.20414909781705531</v>
      </c>
      <c r="FU16" s="227">
        <f t="shared" si="42"/>
        <v>2.5527204916599287E-2</v>
      </c>
      <c r="FV16" s="227">
        <f t="shared" si="43"/>
        <v>12.504196780470247</v>
      </c>
      <c r="FX16" s="230">
        <f t="shared" si="167"/>
        <v>1.7803835904000032</v>
      </c>
      <c r="FY16" s="230">
        <f t="shared" si="168"/>
        <v>0.9621989569628383</v>
      </c>
      <c r="FZ16" s="230">
        <f t="shared" si="169"/>
        <v>1.7803835904000032</v>
      </c>
      <c r="GA16" s="230">
        <f t="shared" si="170"/>
        <v>1.8583739438670972</v>
      </c>
      <c r="GB16" s="230">
        <f t="shared" si="44"/>
        <v>1.5953350204074854</v>
      </c>
      <c r="GC16" s="230">
        <f t="shared" si="45"/>
        <v>0.42368883889065223</v>
      </c>
      <c r="GD16" s="230">
        <f t="shared" si="46"/>
        <v>26.557985217577201</v>
      </c>
      <c r="GF16" s="231">
        <f t="shared" si="171"/>
        <v>2.1580952380952378E-2</v>
      </c>
      <c r="GG16" s="231">
        <f t="shared" si="172"/>
        <v>3.520835451802163E-2</v>
      </c>
      <c r="GH16" s="231">
        <f t="shared" si="173"/>
        <v>0.06</v>
      </c>
      <c r="GI16" s="231">
        <f t="shared" si="174"/>
        <v>1.0102201992309472E-2</v>
      </c>
      <c r="GJ16" s="245">
        <f t="shared" si="187"/>
        <v>3.1722877222820869E-2</v>
      </c>
      <c r="GK16" s="231">
        <f t="shared" si="188"/>
        <v>2.1463585142067809E-2</v>
      </c>
      <c r="GL16" s="231">
        <f t="shared" si="47"/>
        <v>67.659641940130484</v>
      </c>
      <c r="GN16" s="246">
        <f t="shared" si="175"/>
        <v>0.10286692307692313</v>
      </c>
      <c r="GO16" s="246">
        <f t="shared" si="176"/>
        <v>0.10286692307692313</v>
      </c>
      <c r="GP16" s="246">
        <f t="shared" si="177"/>
        <v>9.6219895696283822E-2</v>
      </c>
      <c r="GQ16" s="247">
        <f t="shared" si="189"/>
        <v>0.1006512472833767</v>
      </c>
      <c r="GR16" s="246">
        <f t="shared" si="190"/>
        <v>3.8376630475229199E-3</v>
      </c>
      <c r="GS16" s="246">
        <f t="shared" si="48"/>
        <v>3.812832082168085</v>
      </c>
      <c r="GU16" s="249">
        <f t="shared" si="178"/>
        <v>1.2554405438467508E-2</v>
      </c>
      <c r="GV16" s="249">
        <f t="shared" si="179"/>
        <v>1.2554405438467508E-2</v>
      </c>
      <c r="GW16" s="249" t="e">
        <f t="shared" si="180"/>
        <v>#DIV/0!</v>
      </c>
      <c r="GX16" s="249" t="e">
        <f t="shared" si="49"/>
        <v>#DIV/0!</v>
      </c>
      <c r="GZ16" s="240">
        <f t="shared" si="181"/>
        <v>1.3745699385183406E-2</v>
      </c>
      <c r="HA16" s="240">
        <f t="shared" si="182"/>
        <v>1.3745699385183406E-2</v>
      </c>
      <c r="HB16" s="240" t="e">
        <f t="shared" si="183"/>
        <v>#DIV/0!</v>
      </c>
      <c r="HC16" s="240" t="e">
        <f t="shared" si="50"/>
        <v>#DIV/0!</v>
      </c>
      <c r="HE16" s="234">
        <f t="shared" si="184"/>
        <v>5.4094407561227499E-2</v>
      </c>
      <c r="HF16" s="251">
        <f t="shared" si="185"/>
        <v>5.4094407561227499E-2</v>
      </c>
      <c r="HG16" s="234" t="e">
        <f t="shared" si="186"/>
        <v>#DIV/0!</v>
      </c>
      <c r="HH16" s="234" t="e">
        <f t="shared" si="51"/>
        <v>#DIV/0!</v>
      </c>
    </row>
    <row r="17" spans="2:216" ht="15.6" x14ac:dyDescent="0.25">
      <c r="B17">
        <v>13</v>
      </c>
      <c r="C17" s="124">
        <f t="shared" si="52"/>
        <v>50.694034791835037</v>
      </c>
      <c r="D17" s="124">
        <f t="shared" si="53"/>
        <v>158.77027379747432</v>
      </c>
      <c r="E17" s="29">
        <f t="shared" si="54"/>
        <v>1.5215853587529955</v>
      </c>
      <c r="F17" s="29">
        <f t="shared" si="0"/>
        <v>1.5015183843251534</v>
      </c>
      <c r="G17" s="29">
        <f t="shared" si="1"/>
        <v>1.505429418823369</v>
      </c>
      <c r="H17" s="29">
        <f t="shared" si="2"/>
        <v>1.5215853587529955</v>
      </c>
      <c r="I17" s="29">
        <f t="shared" si="3"/>
        <v>1.4937950038855423</v>
      </c>
      <c r="J17" s="125">
        <f t="shared" si="4"/>
        <v>1.5087827049080111</v>
      </c>
      <c r="K17" s="126">
        <f t="shared" si="5"/>
        <v>1.2414325938043152E-2</v>
      </c>
      <c r="L17" s="126">
        <f t="shared" si="55"/>
        <v>0.82280409880493965</v>
      </c>
      <c r="N17" s="138">
        <f t="shared" si="56"/>
        <v>316.84436803068235</v>
      </c>
      <c r="O17" s="138">
        <f t="shared" si="57"/>
        <v>389.75639999999999</v>
      </c>
      <c r="P17" s="138">
        <f t="shared" si="58"/>
        <v>309.60456132672385</v>
      </c>
      <c r="Q17" s="138">
        <f t="shared" si="59"/>
        <v>299.69610008830574</v>
      </c>
      <c r="R17" s="138">
        <f t="shared" si="60"/>
        <v>316.84436803068235</v>
      </c>
      <c r="S17" s="138">
        <f t="shared" si="61"/>
        <v>333.59844822854529</v>
      </c>
      <c r="T17" s="138">
        <f t="shared" si="62"/>
        <v>327.72404095082322</v>
      </c>
      <c r="U17" s="138">
        <f t="shared" si="63"/>
        <v>32.351623781844275</v>
      </c>
      <c r="V17" s="138">
        <f t="shared" si="64"/>
        <v>9.8716052957185436</v>
      </c>
      <c r="X17" s="227">
        <f t="shared" si="65"/>
        <v>0.40669668754999999</v>
      </c>
      <c r="Y17" s="227">
        <f t="shared" si="66"/>
        <v>0.44267509521675447</v>
      </c>
      <c r="Z17" s="227">
        <f t="shared" si="67"/>
        <v>0.40669668754999999</v>
      </c>
      <c r="AA17" s="227">
        <f t="shared" si="68"/>
        <v>0.41868949010558482</v>
      </c>
      <c r="AB17" s="227">
        <f t="shared" si="69"/>
        <v>2.0772143351414789E-2</v>
      </c>
      <c r="AC17" s="227">
        <f t="shared" si="70"/>
        <v>4.961228748822065</v>
      </c>
      <c r="AE17" s="228">
        <f t="shared" si="71"/>
        <v>3.1821216288039857</v>
      </c>
      <c r="AF17" s="228">
        <f t="shared" si="72"/>
        <v>3.8560835999999936</v>
      </c>
      <c r="AG17" s="228">
        <f t="shared" si="73"/>
        <v>3.1821216288039857</v>
      </c>
      <c r="AH17" s="228">
        <f t="shared" si="74"/>
        <v>4.5463555462220988</v>
      </c>
      <c r="AI17" s="228">
        <f t="shared" si="75"/>
        <v>3.8560835999999936</v>
      </c>
      <c r="AJ17" s="228">
        <f t="shared" si="76"/>
        <v>3.8567281988900719</v>
      </c>
      <c r="AK17" s="228">
        <f t="shared" si="77"/>
        <v>3.9757041578713923</v>
      </c>
      <c r="AL17" s="228">
        <f t="shared" si="78"/>
        <v>3.7793140515130745</v>
      </c>
      <c r="AM17" s="228">
        <f t="shared" si="79"/>
        <v>0.4757414187923012</v>
      </c>
      <c r="AN17" s="228">
        <f t="shared" si="80"/>
        <v>12.588036143803262</v>
      </c>
      <c r="AP17" s="229">
        <f t="shared" si="81"/>
        <v>1.3454931285367826</v>
      </c>
      <c r="AQ17" s="229">
        <f t="shared" si="82"/>
        <v>1.3811738880468301</v>
      </c>
      <c r="AR17" s="229">
        <f t="shared" si="83"/>
        <v>1.2864480329152022</v>
      </c>
      <c r="AS17" s="229">
        <f t="shared" si="84"/>
        <v>1.4010061118685455</v>
      </c>
      <c r="AT17" s="229">
        <f t="shared" si="85"/>
        <v>1.3454931285367826</v>
      </c>
      <c r="AU17" s="229">
        <f t="shared" si="86"/>
        <v>0.38474947690070815</v>
      </c>
      <c r="AV17" s="229">
        <f t="shared" si="87"/>
        <v>1.3811738880468301</v>
      </c>
      <c r="AW17" s="229">
        <f t="shared" si="88"/>
        <v>1.4463923180074221</v>
      </c>
      <c r="AX17" s="229">
        <f t="shared" si="89"/>
        <v>1.4873853550329261</v>
      </c>
      <c r="AY17" s="229">
        <f t="shared" si="90"/>
        <v>1.2732572586546698</v>
      </c>
      <c r="AZ17" s="229">
        <f t="shared" si="91"/>
        <v>0.33828510059749106</v>
      </c>
      <c r="BA17" s="229">
        <f t="shared" si="92"/>
        <v>26.56848003795595</v>
      </c>
      <c r="BC17" s="230">
        <f t="shared" si="93"/>
        <v>6.1436057000000037</v>
      </c>
      <c r="BD17" s="230">
        <f t="shared" si="94"/>
        <v>14.216788532915201</v>
      </c>
      <c r="BE17" s="230">
        <f t="shared" si="95"/>
        <v>6.1436057000000037</v>
      </c>
      <c r="BF17" s="230">
        <f t="shared" si="96"/>
        <v>4.8852943846859889</v>
      </c>
      <c r="BG17" s="230">
        <f t="shared" si="97"/>
        <v>7.8473235794002987</v>
      </c>
      <c r="BH17" s="230">
        <f t="shared" si="98"/>
        <v>4.2875404748165762</v>
      </c>
      <c r="BI17" s="230">
        <f t="shared" si="99"/>
        <v>54.63697821855633</v>
      </c>
      <c r="BK17" s="227">
        <f t="shared" si="6"/>
        <v>9.8401903846153829</v>
      </c>
      <c r="BL17" s="227">
        <f t="shared" si="7"/>
        <v>20.520957771228698</v>
      </c>
      <c r="BM17" s="227">
        <f t="shared" si="8"/>
        <v>19.01595229539938</v>
      </c>
      <c r="BN17" s="227">
        <f t="shared" si="9"/>
        <v>17.882238858648314</v>
      </c>
      <c r="BO17" s="227">
        <f t="shared" si="10"/>
        <v>9.8401903846153829</v>
      </c>
      <c r="BP17" s="227">
        <f t="shared" si="11"/>
        <v>18.549208031304111</v>
      </c>
      <c r="BQ17" s="227">
        <f t="shared" si="12"/>
        <v>19.340183437443123</v>
      </c>
      <c r="BR17" s="227">
        <f t="shared" si="100"/>
        <v>16.426988737607768</v>
      </c>
      <c r="BS17" s="227">
        <f t="shared" si="101"/>
        <v>4.5706201410432472</v>
      </c>
      <c r="BT17" s="227">
        <f t="shared" si="13"/>
        <v>27.823846561599691</v>
      </c>
      <c r="BV17" s="231">
        <f t="shared" si="102"/>
        <v>0.18742875628571445</v>
      </c>
      <c r="BW17" s="231">
        <f t="shared" si="103"/>
        <v>0.22770921580621448</v>
      </c>
      <c r="BX17" s="231">
        <f t="shared" si="104"/>
        <v>0.23949589849898384</v>
      </c>
      <c r="BY17" s="231">
        <f t="shared" si="105"/>
        <v>0.18742875628571445</v>
      </c>
      <c r="BZ17" s="231">
        <f t="shared" si="106"/>
        <v>0.22325435646873792</v>
      </c>
      <c r="CA17" s="231">
        <f t="shared" si="107"/>
        <v>0.23169967836321798</v>
      </c>
      <c r="CB17" s="231">
        <f t="shared" si="108"/>
        <v>0.3475226929288191</v>
      </c>
      <c r="CC17" s="231">
        <f t="shared" si="109"/>
        <v>0.38872781997169609</v>
      </c>
      <c r="CD17" s="231">
        <f t="shared" si="110"/>
        <v>0.25415839682613728</v>
      </c>
      <c r="CE17" s="231">
        <f t="shared" si="111"/>
        <v>7.3781059382291667E-2</v>
      </c>
      <c r="CF17" s="231">
        <f t="shared" si="14"/>
        <v>29.029558064439335</v>
      </c>
      <c r="CH17" s="232">
        <f t="shared" si="112"/>
        <v>1.0712168909048652</v>
      </c>
      <c r="CI17" s="232">
        <f t="shared" si="113"/>
        <v>1.1060576190476188</v>
      </c>
      <c r="CJ17" s="232">
        <f t="shared" si="114"/>
        <v>1.7099402752947475</v>
      </c>
      <c r="CK17" s="232">
        <f t="shared" si="115"/>
        <v>1.3004131053401982</v>
      </c>
      <c r="CL17" s="232">
        <f t="shared" si="116"/>
        <v>1.2687977359606424</v>
      </c>
      <c r="CM17" s="232">
        <f t="shared" si="117"/>
        <v>1.0712168909048652</v>
      </c>
      <c r="CN17" s="232">
        <f t="shared" si="118"/>
        <v>1.0712168909048652</v>
      </c>
      <c r="CO17" s="232">
        <f t="shared" si="119"/>
        <v>1.2208947087050626</v>
      </c>
      <c r="CP17" s="232">
        <f t="shared" si="120"/>
        <v>1.1060576190476188</v>
      </c>
      <c r="CQ17" s="232">
        <f t="shared" si="121"/>
        <v>1.1499263039856773</v>
      </c>
      <c r="CR17" s="232">
        <f t="shared" si="122"/>
        <v>1.2075738040096158</v>
      </c>
      <c r="CS17" s="232">
        <f t="shared" si="123"/>
        <v>0.19568425611466125</v>
      </c>
      <c r="CT17" s="232">
        <f t="shared" si="15"/>
        <v>16.204745040420157</v>
      </c>
      <c r="CV17" s="229">
        <f t="shared" si="16"/>
        <v>0.53442066666666654</v>
      </c>
      <c r="CW17" s="229">
        <f t="shared" si="17"/>
        <v>0.72740033844085239</v>
      </c>
      <c r="CX17" s="229">
        <f t="shared" si="18"/>
        <v>0.40167850430145768</v>
      </c>
      <c r="CY17" s="229">
        <f t="shared" si="19"/>
        <v>0.45275529885358745</v>
      </c>
      <c r="CZ17" s="229">
        <f t="shared" si="20"/>
        <v>0.82597927218998379</v>
      </c>
      <c r="DA17" s="229">
        <f t="shared" si="21"/>
        <v>0.53442066666666654</v>
      </c>
      <c r="DB17" s="229">
        <f t="shared" si="22"/>
        <v>0.34471943658447823</v>
      </c>
      <c r="DC17" s="229">
        <f t="shared" si="23"/>
        <v>0.71075161821947341</v>
      </c>
      <c r="DD17" s="229">
        <f t="shared" si="24"/>
        <v>0.56651572524039573</v>
      </c>
      <c r="DE17" s="229">
        <f t="shared" si="25"/>
        <v>0.17128743888297226</v>
      </c>
      <c r="DF17" s="229">
        <f t="shared" si="26"/>
        <v>30.235248776243239</v>
      </c>
      <c r="DH17" s="234">
        <f t="shared" si="124"/>
        <v>1.924E-2</v>
      </c>
      <c r="DI17" s="234">
        <f t="shared" si="125"/>
        <v>2.6000000000000002E-2</v>
      </c>
      <c r="DJ17" s="234">
        <f t="shared" si="126"/>
        <v>8.1457857502865216E-2</v>
      </c>
      <c r="DK17" s="234">
        <f t="shared" si="27"/>
        <v>4.2232619167621742E-2</v>
      </c>
      <c r="DL17" s="234">
        <f t="shared" si="28"/>
        <v>3.4137792720714835E-2</v>
      </c>
      <c r="DM17" s="234">
        <f t="shared" si="29"/>
        <v>80.832762432331165</v>
      </c>
      <c r="DO17" s="229">
        <f t="shared" si="127"/>
        <v>1.8850152</v>
      </c>
      <c r="DP17" s="229">
        <f t="shared" si="128"/>
        <v>2.5276664915872167</v>
      </c>
      <c r="DQ17" s="229">
        <f t="shared" si="129"/>
        <v>1.6523472433001642</v>
      </c>
      <c r="DR17" s="229">
        <f t="shared" si="130"/>
        <v>2.2631740573620167</v>
      </c>
      <c r="DS17" s="229">
        <f t="shared" si="131"/>
        <v>2.0028197329987227</v>
      </c>
      <c r="DT17" s="229">
        <f t="shared" si="132"/>
        <v>1.8850152</v>
      </c>
      <c r="DU17" s="229">
        <f t="shared" si="133"/>
        <v>-0.1323396099999998</v>
      </c>
      <c r="DV17" s="229">
        <f t="shared" si="134"/>
        <v>1.5444266977825531</v>
      </c>
      <c r="DW17" s="229">
        <f t="shared" si="30"/>
        <v>1.7035156266288345</v>
      </c>
      <c r="DX17" s="229">
        <f t="shared" si="31"/>
        <v>0.80588915280413043</v>
      </c>
      <c r="DY17" s="229">
        <f t="shared" si="32"/>
        <v>47.307411813940419</v>
      </c>
      <c r="EA17" s="235">
        <f t="shared" si="135"/>
        <v>0.10569468690702086</v>
      </c>
      <c r="EB17" s="235">
        <f t="shared" si="136"/>
        <v>0.14385112818996523</v>
      </c>
      <c r="EC17" s="235">
        <f t="shared" si="137"/>
        <v>0.10569468690702086</v>
      </c>
      <c r="ED17" s="235">
        <f t="shared" si="138"/>
        <v>0.10645747306285357</v>
      </c>
      <c r="EE17" s="235">
        <f t="shared" si="139"/>
        <v>0.10423195470025455</v>
      </c>
      <c r="EF17" s="235">
        <f t="shared" si="140"/>
        <v>0.11318598595342302</v>
      </c>
      <c r="EG17" s="235">
        <f t="shared" si="141"/>
        <v>1.716127641373066E-2</v>
      </c>
      <c r="EH17" s="235">
        <f t="shared" si="33"/>
        <v>15.162015216965703</v>
      </c>
      <c r="EJ17" s="229">
        <f t="shared" si="142"/>
        <v>8.2110732532750976</v>
      </c>
      <c r="EK17" s="229">
        <f t="shared" si="143"/>
        <v>12.677962730824831</v>
      </c>
      <c r="EL17" s="229">
        <f t="shared" si="144"/>
        <v>7.5196530999999878</v>
      </c>
      <c r="EM17" s="229">
        <f t="shared" si="145"/>
        <v>10.905225804258388</v>
      </c>
      <c r="EN17" s="229">
        <f t="shared" si="146"/>
        <v>10.627967532951935</v>
      </c>
      <c r="EO17" s="229">
        <f t="shared" si="34"/>
        <v>11.63375442616328</v>
      </c>
      <c r="EP17" s="229">
        <f t="shared" si="147"/>
        <v>7.2091353903011672</v>
      </c>
      <c r="EQ17" s="229">
        <f t="shared" si="148"/>
        <v>9.8263960339678125</v>
      </c>
      <c r="ER17" s="229">
        <f t="shared" si="149"/>
        <v>2.1596585938458674</v>
      </c>
      <c r="ES17" s="229">
        <f t="shared" si="35"/>
        <v>21.978135080047412</v>
      </c>
      <c r="EU17" s="238">
        <f t="shared" si="191"/>
        <v>1.0138806958668558E-2</v>
      </c>
      <c r="EV17" s="238">
        <f t="shared" si="151"/>
        <v>1.0138806958668558E-2</v>
      </c>
      <c r="EW17" s="238" t="e">
        <f t="shared" si="152"/>
        <v>#DIV/0!</v>
      </c>
      <c r="EX17" s="238" t="e">
        <f t="shared" si="36"/>
        <v>#DIV/0!</v>
      </c>
      <c r="EZ17" s="240">
        <f t="shared" si="153"/>
        <v>2.8167152609438239E-3</v>
      </c>
      <c r="FA17" s="240">
        <f t="shared" si="154"/>
        <v>2.8167152609438239E-3</v>
      </c>
      <c r="FB17" s="240" t="e">
        <f t="shared" si="155"/>
        <v>#DIV/0!</v>
      </c>
      <c r="FC17" s="240" t="e">
        <f t="shared" si="37"/>
        <v>#DIV/0!</v>
      </c>
      <c r="FE17" s="236">
        <f t="shared" si="156"/>
        <v>0.50409679134615382</v>
      </c>
      <c r="FF17" s="236">
        <f t="shared" si="157"/>
        <v>0.87206247224348077</v>
      </c>
      <c r="FG17" s="236">
        <f t="shared" si="158"/>
        <v>0.8525667841827872</v>
      </c>
      <c r="FH17" s="236">
        <f t="shared" si="159"/>
        <v>0.83645157406527815</v>
      </c>
      <c r="FI17" s="236">
        <f t="shared" si="160"/>
        <v>0.9</v>
      </c>
      <c r="FJ17" s="236">
        <f t="shared" si="161"/>
        <v>0.83933717991369905</v>
      </c>
      <c r="FK17" s="236">
        <f t="shared" si="38"/>
        <v>0.8007524669585665</v>
      </c>
      <c r="FL17" s="236">
        <f t="shared" si="39"/>
        <v>0.14723295102188283</v>
      </c>
      <c r="FM17" s="236">
        <f t="shared" si="40"/>
        <v>18.386824530320318</v>
      </c>
      <c r="FO17" s="227">
        <f t="shared" si="162"/>
        <v>0.20059495145631073</v>
      </c>
      <c r="FP17" s="227">
        <f t="shared" si="163"/>
        <v>0.24164277229473419</v>
      </c>
      <c r="FQ17" s="227">
        <f t="shared" si="164"/>
        <v>0.25207124774476686</v>
      </c>
      <c r="FR17" s="227">
        <f t="shared" si="165"/>
        <v>0.20059495145631073</v>
      </c>
      <c r="FS17" s="227">
        <f t="shared" si="166"/>
        <v>0.22812315656325766</v>
      </c>
      <c r="FT17" s="227">
        <f t="shared" si="41"/>
        <v>0.22460541590307601</v>
      </c>
      <c r="FU17" s="227">
        <f t="shared" si="42"/>
        <v>2.3505439459960479E-2</v>
      </c>
      <c r="FV17" s="227">
        <f t="shared" si="43"/>
        <v>10.465214903857788</v>
      </c>
      <c r="FX17" s="230">
        <f t="shared" si="167"/>
        <v>2.1002758704000097</v>
      </c>
      <c r="FY17" s="230">
        <f t="shared" si="168"/>
        <v>1.0645747306285358</v>
      </c>
      <c r="FZ17" s="230">
        <f t="shared" si="169"/>
        <v>2.1002758704000097</v>
      </c>
      <c r="GA17" s="230">
        <f t="shared" si="170"/>
        <v>2.1068112208443361</v>
      </c>
      <c r="GB17" s="230">
        <f t="shared" si="44"/>
        <v>1.8429844230682229</v>
      </c>
      <c r="GC17" s="230">
        <f t="shared" si="45"/>
        <v>0.51894893976479639</v>
      </c>
      <c r="GD17" s="230">
        <f t="shared" si="46"/>
        <v>28.158075199618015</v>
      </c>
      <c r="GF17" s="231">
        <f t="shared" si="171"/>
        <v>2.7562761904761906E-2</v>
      </c>
      <c r="GG17" s="231">
        <f t="shared" si="172"/>
        <v>3.8140702263671715E-2</v>
      </c>
      <c r="GH17" s="231">
        <f t="shared" si="173"/>
        <v>0.06</v>
      </c>
      <c r="GI17" s="231">
        <f t="shared" si="174"/>
        <v>1.3735446831837772E-2</v>
      </c>
      <c r="GJ17" s="245">
        <f t="shared" si="187"/>
        <v>3.4859727750067848E-2</v>
      </c>
      <c r="GK17" s="231">
        <f t="shared" si="188"/>
        <v>1.9513064319573933E-2</v>
      </c>
      <c r="GL17" s="231">
        <f t="shared" si="47"/>
        <v>55.975951560711643</v>
      </c>
      <c r="GN17" s="246">
        <f t="shared" si="175"/>
        <v>0.11180250000000003</v>
      </c>
      <c r="GO17" s="246">
        <f t="shared" si="176"/>
        <v>0.11180250000000003</v>
      </c>
      <c r="GP17" s="246">
        <f t="shared" si="177"/>
        <v>0.10645747306285357</v>
      </c>
      <c r="GQ17" s="247">
        <f t="shared" si="189"/>
        <v>0.11002082435428455</v>
      </c>
      <c r="GR17" s="246">
        <f t="shared" si="190"/>
        <v>3.08595274098731E-3</v>
      </c>
      <c r="GS17" s="246">
        <f t="shared" si="48"/>
        <v>2.8048805842883446</v>
      </c>
      <c r="GU17" s="249">
        <f t="shared" si="178"/>
        <v>1.38901655329628E-2</v>
      </c>
      <c r="GV17" s="249">
        <f t="shared" si="179"/>
        <v>1.38901655329628E-2</v>
      </c>
      <c r="GW17" s="249" t="e">
        <f t="shared" si="180"/>
        <v>#DIV/0!</v>
      </c>
      <c r="GX17" s="249" t="e">
        <f t="shared" si="49"/>
        <v>#DIV/0!</v>
      </c>
      <c r="GZ17" s="240">
        <f t="shared" si="181"/>
        <v>1.5208210437550513E-2</v>
      </c>
      <c r="HA17" s="240">
        <f t="shared" si="182"/>
        <v>1.5208210437550513E-2</v>
      </c>
      <c r="HB17" s="240" t="e">
        <f t="shared" si="183"/>
        <v>#DIV/0!</v>
      </c>
      <c r="HC17" s="240" t="e">
        <f t="shared" si="50"/>
        <v>#DIV/0!</v>
      </c>
      <c r="HE17" s="234">
        <f t="shared" si="184"/>
        <v>5.9895701402283688E-2</v>
      </c>
      <c r="HF17" s="251">
        <f t="shared" si="185"/>
        <v>5.9895701402283688E-2</v>
      </c>
      <c r="HG17" s="234" t="e">
        <f t="shared" si="186"/>
        <v>#DIV/0!</v>
      </c>
      <c r="HH17" s="234" t="e">
        <f t="shared" si="51"/>
        <v>#DIV/0!</v>
      </c>
    </row>
    <row r="18" spans="2:216" ht="15.6" x14ac:dyDescent="0.25">
      <c r="B18">
        <v>14</v>
      </c>
      <c r="C18" s="124">
        <f t="shared" si="52"/>
        <v>55.309353666753964</v>
      </c>
      <c r="D18" s="124">
        <f t="shared" si="53"/>
        <v>162.78496601614731</v>
      </c>
      <c r="E18" s="29">
        <f t="shared" si="54"/>
        <v>1.6088996580787789</v>
      </c>
      <c r="F18" s="29">
        <f t="shared" si="0"/>
        <v>1.5866315435960101</v>
      </c>
      <c r="G18" s="29">
        <f t="shared" si="1"/>
        <v>1.5912027437113041</v>
      </c>
      <c r="H18" s="29">
        <f t="shared" si="2"/>
        <v>1.6088996580787789</v>
      </c>
      <c r="I18" s="29">
        <f t="shared" si="3"/>
        <v>1.5810342553533774</v>
      </c>
      <c r="J18" s="125">
        <f t="shared" si="4"/>
        <v>1.5953335717636499</v>
      </c>
      <c r="K18" s="126">
        <f t="shared" si="5"/>
        <v>1.2897062458643364E-2</v>
      </c>
      <c r="L18" s="126">
        <f t="shared" si="55"/>
        <v>0.80842418707365327</v>
      </c>
      <c r="N18" s="138">
        <f t="shared" si="56"/>
        <v>335.02005007036655</v>
      </c>
      <c r="O18" s="138">
        <f t="shared" si="57"/>
        <v>403.85559999999998</v>
      </c>
      <c r="P18" s="138">
        <f t="shared" si="58"/>
        <v>326.58631649425081</v>
      </c>
      <c r="Q18" s="138">
        <f t="shared" si="59"/>
        <v>320.23947123569548</v>
      </c>
      <c r="R18" s="138">
        <f t="shared" si="60"/>
        <v>335.02005007036655</v>
      </c>
      <c r="S18" s="138">
        <f t="shared" si="61"/>
        <v>341.64364818374298</v>
      </c>
      <c r="T18" s="138">
        <f t="shared" si="62"/>
        <v>343.72752267573702</v>
      </c>
      <c r="U18" s="138">
        <f t="shared" si="63"/>
        <v>30.387095562964692</v>
      </c>
      <c r="V18" s="138">
        <f t="shared" si="64"/>
        <v>8.8404604107396523</v>
      </c>
      <c r="X18" s="227">
        <f t="shared" si="65"/>
        <v>0.41081265160000002</v>
      </c>
      <c r="Y18" s="227">
        <f t="shared" si="66"/>
        <v>0.44749638372973921</v>
      </c>
      <c r="Z18" s="227">
        <f t="shared" si="67"/>
        <v>0.41081265160000002</v>
      </c>
      <c r="AA18" s="227">
        <f t="shared" si="68"/>
        <v>0.4230405623099131</v>
      </c>
      <c r="AB18" s="227">
        <f t="shared" si="69"/>
        <v>2.1179362619985046E-2</v>
      </c>
      <c r="AC18" s="227">
        <f t="shared" si="70"/>
        <v>5.0064614381987713</v>
      </c>
      <c r="AE18" s="228">
        <f t="shared" si="71"/>
        <v>3.4039657973537665</v>
      </c>
      <c r="AF18" s="228">
        <f t="shared" si="72"/>
        <v>4.4734148000000014</v>
      </c>
      <c r="AG18" s="228">
        <f t="shared" si="73"/>
        <v>3.4039657973537665</v>
      </c>
      <c r="AH18" s="228">
        <f t="shared" si="74"/>
        <v>4.9601784409523946</v>
      </c>
      <c r="AI18" s="228">
        <f t="shared" si="75"/>
        <v>4.4734148000000014</v>
      </c>
      <c r="AJ18" s="228">
        <f t="shared" si="76"/>
        <v>4.2083852033998221</v>
      </c>
      <c r="AK18" s="228">
        <f t="shared" si="77"/>
        <v>4.247604522615994</v>
      </c>
      <c r="AL18" s="228">
        <f t="shared" si="78"/>
        <v>4.1672756230965344</v>
      </c>
      <c r="AM18" s="228">
        <f t="shared" si="79"/>
        <v>0.57584196033224633</v>
      </c>
      <c r="AN18" s="228">
        <f t="shared" si="80"/>
        <v>13.818187526179548</v>
      </c>
      <c r="AP18" s="229">
        <f t="shared" si="81"/>
        <v>1.3520022667170382</v>
      </c>
      <c r="AQ18" s="229">
        <f t="shared" si="82"/>
        <v>1.3858229329173166</v>
      </c>
      <c r="AR18" s="229">
        <f t="shared" si="83"/>
        <v>1.2571122954391998</v>
      </c>
      <c r="AS18" s="229">
        <f t="shared" si="84"/>
        <v>1.4189362929503342</v>
      </c>
      <c r="AT18" s="229">
        <f t="shared" si="85"/>
        <v>1.3520022667170382</v>
      </c>
      <c r="AU18" s="229">
        <f t="shared" si="86"/>
        <v>0.37484008290775866</v>
      </c>
      <c r="AV18" s="229">
        <f t="shared" si="87"/>
        <v>1.3858229329173166</v>
      </c>
      <c r="AW18" s="229">
        <f t="shared" si="88"/>
        <v>1.447676521401094</v>
      </c>
      <c r="AX18" s="229">
        <f t="shared" si="89"/>
        <v>1.4850228820002778</v>
      </c>
      <c r="AY18" s="229">
        <f t="shared" si="90"/>
        <v>1.2732487193297084</v>
      </c>
      <c r="AZ18" s="229">
        <f t="shared" si="91"/>
        <v>0.34308286808240179</v>
      </c>
      <c r="BA18" s="229">
        <f t="shared" si="92"/>
        <v>26.945471287260752</v>
      </c>
      <c r="BC18" s="230">
        <f t="shared" si="93"/>
        <v>7.2504104000000043</v>
      </c>
      <c r="BD18" s="230">
        <f t="shared" si="94"/>
        <v>15.151712795439202</v>
      </c>
      <c r="BE18" s="230">
        <f t="shared" si="95"/>
        <v>7.2504104000000043</v>
      </c>
      <c r="BF18" s="230">
        <f t="shared" si="96"/>
        <v>6.44390464539413</v>
      </c>
      <c r="BG18" s="230">
        <f t="shared" si="97"/>
        <v>9.0241095602083341</v>
      </c>
      <c r="BH18" s="230">
        <f t="shared" si="98"/>
        <v>4.1027225201765196</v>
      </c>
      <c r="BI18" s="230">
        <f t="shared" si="99"/>
        <v>45.464014956859664</v>
      </c>
      <c r="BK18" s="227">
        <f t="shared" si="6"/>
        <v>11.48028076923077</v>
      </c>
      <c r="BL18" s="227">
        <f t="shared" si="7"/>
        <v>22.483974206167026</v>
      </c>
      <c r="BM18" s="227">
        <f t="shared" si="8"/>
        <v>21.032910598351037</v>
      </c>
      <c r="BN18" s="227">
        <f t="shared" si="9"/>
        <v>19.06285723989647</v>
      </c>
      <c r="BO18" s="227">
        <f t="shared" si="10"/>
        <v>11.48028076923077</v>
      </c>
      <c r="BP18" s="227">
        <f t="shared" si="11"/>
        <v>20.46633595093083</v>
      </c>
      <c r="BQ18" s="227">
        <f t="shared" si="12"/>
        <v>23.462722930136941</v>
      </c>
      <c r="BR18" s="227">
        <f t="shared" si="100"/>
        <v>18.495623209134834</v>
      </c>
      <c r="BS18" s="227">
        <f t="shared" si="101"/>
        <v>4.9942028537086989</v>
      </c>
      <c r="BT18" s="227">
        <f t="shared" si="13"/>
        <v>27.00207934189589</v>
      </c>
      <c r="BV18" s="231">
        <f t="shared" si="102"/>
        <v>0.20293926552380998</v>
      </c>
      <c r="BW18" s="231">
        <f t="shared" si="103"/>
        <v>0.24337124718730566</v>
      </c>
      <c r="BX18" s="231">
        <f t="shared" si="104"/>
        <v>0.25323347380275441</v>
      </c>
      <c r="BY18" s="231">
        <f t="shared" si="105"/>
        <v>0.20293926552380998</v>
      </c>
      <c r="BZ18" s="231">
        <f t="shared" si="106"/>
        <v>0.2413704134893721</v>
      </c>
      <c r="CA18" s="231">
        <f t="shared" si="107"/>
        <v>0.24693864841733004</v>
      </c>
      <c r="CB18" s="231">
        <f t="shared" si="108"/>
        <v>0.37490091458024888</v>
      </c>
      <c r="CC18" s="231">
        <f t="shared" si="109"/>
        <v>0.40640012929591801</v>
      </c>
      <c r="CD18" s="231">
        <f t="shared" si="110"/>
        <v>0.27151166972756863</v>
      </c>
      <c r="CE18" s="231">
        <f t="shared" si="111"/>
        <v>7.6463704035161728E-2</v>
      </c>
      <c r="CF18" s="231">
        <f t="shared" si="14"/>
        <v>28.162216420341874</v>
      </c>
      <c r="CH18" s="232">
        <f t="shared" si="112"/>
        <v>1.1465525310767375</v>
      </c>
      <c r="CI18" s="232">
        <f t="shared" si="113"/>
        <v>1.1974643809523822</v>
      </c>
      <c r="CJ18" s="232">
        <f t="shared" si="114"/>
        <v>1.7907004585658033</v>
      </c>
      <c r="CK18" s="232">
        <f t="shared" si="115"/>
        <v>1.4084903943705198</v>
      </c>
      <c r="CL18" s="232">
        <f t="shared" si="116"/>
        <v>1.3864421196040098</v>
      </c>
      <c r="CM18" s="232">
        <f t="shared" si="117"/>
        <v>1.1465525310767375</v>
      </c>
      <c r="CN18" s="232">
        <f t="shared" si="118"/>
        <v>1.1465525310767375</v>
      </c>
      <c r="CO18" s="232">
        <f t="shared" si="119"/>
        <v>1.3203269122940371</v>
      </c>
      <c r="CP18" s="232">
        <f t="shared" si="120"/>
        <v>1.1974643809523822</v>
      </c>
      <c r="CQ18" s="232">
        <f t="shared" si="121"/>
        <v>1.2111044919821563</v>
      </c>
      <c r="CR18" s="232">
        <f t="shared" si="122"/>
        <v>1.2951650731951505</v>
      </c>
      <c r="CS18" s="232">
        <f t="shared" si="123"/>
        <v>0.19993795114982099</v>
      </c>
      <c r="CT18" s="232">
        <f t="shared" si="15"/>
        <v>15.437256245381711</v>
      </c>
      <c r="CV18" s="229">
        <f t="shared" si="16"/>
        <v>0.59052666666666609</v>
      </c>
      <c r="CW18" s="229">
        <f t="shared" si="17"/>
        <v>0.78319229481036168</v>
      </c>
      <c r="CX18" s="229">
        <f t="shared" si="18"/>
        <v>0.44741703958876833</v>
      </c>
      <c r="CY18" s="229">
        <f t="shared" si="19"/>
        <v>0.47146045630316374</v>
      </c>
      <c r="CZ18" s="229">
        <f t="shared" si="20"/>
        <v>0.88956380876357366</v>
      </c>
      <c r="DA18" s="229">
        <f t="shared" si="21"/>
        <v>0.59052666666666609</v>
      </c>
      <c r="DB18" s="229">
        <f t="shared" si="22"/>
        <v>0.37610360493392692</v>
      </c>
      <c r="DC18" s="229">
        <f t="shared" si="23"/>
        <v>0.76005289465435999</v>
      </c>
      <c r="DD18" s="229">
        <f t="shared" si="24"/>
        <v>0.61360542904843585</v>
      </c>
      <c r="DE18" s="229">
        <f t="shared" si="25"/>
        <v>0.18191667701300415</v>
      </c>
      <c r="DF18" s="229">
        <f t="shared" si="26"/>
        <v>29.647175269475053</v>
      </c>
      <c r="DH18" s="234">
        <f t="shared" si="124"/>
        <v>2.0719999999999999E-2</v>
      </c>
      <c r="DI18" s="234">
        <f t="shared" si="125"/>
        <v>2.8000000000000001E-2</v>
      </c>
      <c r="DJ18" s="234">
        <f t="shared" si="126"/>
        <v>8.7290273840489999E-2</v>
      </c>
      <c r="DK18" s="234">
        <f t="shared" si="27"/>
        <v>4.5336757946830002E-2</v>
      </c>
      <c r="DL18" s="234">
        <f t="shared" si="28"/>
        <v>3.6514691863408708E-2</v>
      </c>
      <c r="DM18" s="234">
        <f t="shared" si="29"/>
        <v>80.541030097988866</v>
      </c>
      <c r="DO18" s="229">
        <f t="shared" si="127"/>
        <v>2.0008056000000018</v>
      </c>
      <c r="DP18" s="229">
        <f t="shared" si="128"/>
        <v>2.7212943679874884</v>
      </c>
      <c r="DQ18" s="229">
        <f t="shared" si="129"/>
        <v>1.9341546222877311</v>
      </c>
      <c r="DR18" s="229">
        <f t="shared" si="130"/>
        <v>2.3930003576454748</v>
      </c>
      <c r="DS18" s="229">
        <f t="shared" si="131"/>
        <v>2.0922505683960662</v>
      </c>
      <c r="DT18" s="229">
        <f t="shared" si="132"/>
        <v>2.0008056000000018</v>
      </c>
      <c r="DU18" s="229">
        <f t="shared" si="133"/>
        <v>-0.11433575999999995</v>
      </c>
      <c r="DV18" s="229">
        <f t="shared" si="134"/>
        <v>1.7799694366465013</v>
      </c>
      <c r="DW18" s="229">
        <f t="shared" si="30"/>
        <v>1.8509930991204082</v>
      </c>
      <c r="DX18" s="229">
        <f t="shared" si="31"/>
        <v>0.84758199167351</v>
      </c>
      <c r="DY18" s="229">
        <f t="shared" si="32"/>
        <v>45.790661892595978</v>
      </c>
      <c r="EA18" s="235">
        <f t="shared" si="135"/>
        <v>0.11674838709677417</v>
      </c>
      <c r="EB18" s="235">
        <f t="shared" si="136"/>
        <v>0.15552585940137262</v>
      </c>
      <c r="EC18" s="235">
        <f t="shared" si="137"/>
        <v>0.11674838709677417</v>
      </c>
      <c r="ED18" s="235">
        <f t="shared" si="138"/>
        <v>0.11614964270018331</v>
      </c>
      <c r="EE18" s="235">
        <f t="shared" si="139"/>
        <v>0.11088196070949607</v>
      </c>
      <c r="EF18" s="235">
        <f t="shared" si="140"/>
        <v>0.12321084740092007</v>
      </c>
      <c r="EG18" s="235">
        <f t="shared" si="141"/>
        <v>1.8232175170768618E-2</v>
      </c>
      <c r="EH18" s="235">
        <f t="shared" si="33"/>
        <v>14.797540602445746</v>
      </c>
      <c r="EJ18" s="229">
        <f t="shared" si="142"/>
        <v>9.1258445414847404</v>
      </c>
      <c r="EK18" s="229">
        <f t="shared" si="143"/>
        <v>13.766952808796701</v>
      </c>
      <c r="EL18" s="229">
        <f t="shared" si="144"/>
        <v>8.3573136000000154</v>
      </c>
      <c r="EM18" s="229">
        <f t="shared" si="145"/>
        <v>11.442605085269618</v>
      </c>
      <c r="EN18" s="229">
        <f t="shared" si="146"/>
        <v>11.42518069230174</v>
      </c>
      <c r="EO18" s="229">
        <f t="shared" si="34"/>
        <v>12.592548248890266</v>
      </c>
      <c r="EP18" s="229">
        <f t="shared" si="147"/>
        <v>8.2472731277726954</v>
      </c>
      <c r="EQ18" s="229">
        <f t="shared" si="148"/>
        <v>10.708245443502253</v>
      </c>
      <c r="ER18" s="229">
        <f t="shared" si="149"/>
        <v>2.1620524943370141</v>
      </c>
      <c r="ES18" s="229">
        <f t="shared" si="35"/>
        <v>20.190539204057416</v>
      </c>
      <c r="EU18" s="238">
        <f t="shared" si="191"/>
        <v>1.1061870733394437E-2</v>
      </c>
      <c r="EV18" s="238">
        <f t="shared" si="151"/>
        <v>1.1061870733394437E-2</v>
      </c>
      <c r="EW18" s="238" t="e">
        <f t="shared" si="152"/>
        <v>#DIV/0!</v>
      </c>
      <c r="EX18" s="238" t="e">
        <f t="shared" si="36"/>
        <v>#DIV/0!</v>
      </c>
      <c r="EZ18" s="240">
        <f t="shared" si="153"/>
        <v>8.4217064788713082E-3</v>
      </c>
      <c r="FA18" s="240">
        <f t="shared" si="154"/>
        <v>8.4217064788713082E-3</v>
      </c>
      <c r="FB18" s="240" t="e">
        <f t="shared" si="155"/>
        <v>#DIV/0!</v>
      </c>
      <c r="FC18" s="240" t="e">
        <f t="shared" si="37"/>
        <v>#DIV/0!</v>
      </c>
      <c r="FE18" s="236">
        <f t="shared" si="156"/>
        <v>0.58536069999999951</v>
      </c>
      <c r="FF18" s="236">
        <f t="shared" si="157"/>
        <v>0.94007794886787999</v>
      </c>
      <c r="FG18" s="236">
        <f t="shared" si="158"/>
        <v>0.93108486953122471</v>
      </c>
      <c r="FH18" s="236">
        <f t="shared" si="159"/>
        <v>0.91260433550144049</v>
      </c>
      <c r="FI18" s="236">
        <f t="shared" si="160"/>
        <v>0.9</v>
      </c>
      <c r="FJ18" s="236">
        <f t="shared" si="161"/>
        <v>0.8672533203436783</v>
      </c>
      <c r="FK18" s="236">
        <f t="shared" si="38"/>
        <v>0.85606352904070393</v>
      </c>
      <c r="FL18" s="236">
        <f t="shared" si="39"/>
        <v>0.13506971061161235</v>
      </c>
      <c r="FM18" s="236">
        <f t="shared" si="40"/>
        <v>15.778000817646104</v>
      </c>
      <c r="FO18" s="227">
        <f t="shared" si="162"/>
        <v>0.22410135922330093</v>
      </c>
      <c r="FP18" s="227">
        <f t="shared" si="163"/>
        <v>0.25720652235189845</v>
      </c>
      <c r="FQ18" s="227">
        <f t="shared" si="164"/>
        <v>0.27067140858893224</v>
      </c>
      <c r="FR18" s="227">
        <f t="shared" si="165"/>
        <v>0.22410135922330093</v>
      </c>
      <c r="FS18" s="227">
        <f t="shared" si="166"/>
        <v>0.24889209150039282</v>
      </c>
      <c r="FT18" s="227">
        <f t="shared" si="41"/>
        <v>0.24499454817756511</v>
      </c>
      <c r="FU18" s="227">
        <f t="shared" si="42"/>
        <v>2.0595357529853111E-2</v>
      </c>
      <c r="FV18" s="227">
        <f t="shared" si="43"/>
        <v>8.4064554428069069</v>
      </c>
      <c r="FX18" s="230">
        <f t="shared" si="167"/>
        <v>2.3985774815999972</v>
      </c>
      <c r="FY18" s="230">
        <f t="shared" si="168"/>
        <v>1.1614964270018333</v>
      </c>
      <c r="FZ18" s="230">
        <f t="shared" si="169"/>
        <v>2.3985774815999972</v>
      </c>
      <c r="GA18" s="230">
        <f t="shared" si="170"/>
        <v>2.3480859807183485</v>
      </c>
      <c r="GB18" s="230">
        <f t="shared" si="44"/>
        <v>2.0766843427300441</v>
      </c>
      <c r="GC18" s="230">
        <f t="shared" si="45"/>
        <v>0.61058937535815416</v>
      </c>
      <c r="GD18" s="230">
        <f t="shared" si="46"/>
        <v>29.402127362094095</v>
      </c>
      <c r="GF18" s="231">
        <f t="shared" si="171"/>
        <v>3.5295238095238088E-2</v>
      </c>
      <c r="GG18" s="231">
        <f t="shared" si="172"/>
        <v>4.1072939240956778E-2</v>
      </c>
      <c r="GH18" s="231">
        <f t="shared" si="173"/>
        <v>0.06</v>
      </c>
      <c r="GI18" s="231">
        <f t="shared" si="174"/>
        <v>1.81557134798257E-2</v>
      </c>
      <c r="GJ18" s="245">
        <f t="shared" si="187"/>
        <v>3.8630972704005138E-2</v>
      </c>
      <c r="GK18" s="231">
        <f t="shared" si="188"/>
        <v>1.7252650944343185E-2</v>
      </c>
      <c r="GL18" s="231">
        <f t="shared" si="47"/>
        <v>44.660151522807716</v>
      </c>
      <c r="GN18" s="246">
        <f t="shared" si="175"/>
        <v>0.12104576923076929</v>
      </c>
      <c r="GO18" s="246">
        <f t="shared" si="176"/>
        <v>0.12104576923076929</v>
      </c>
      <c r="GP18" s="246">
        <f t="shared" si="177"/>
        <v>0.11614964270018331</v>
      </c>
      <c r="GQ18" s="247">
        <f t="shared" si="189"/>
        <v>0.11941372705390729</v>
      </c>
      <c r="GR18" s="246">
        <f t="shared" si="190"/>
        <v>2.8267799704202834E-3</v>
      </c>
      <c r="GS18" s="246">
        <f t="shared" si="48"/>
        <v>2.3672152608922268</v>
      </c>
      <c r="GU18" s="249">
        <f t="shared" si="178"/>
        <v>1.5154762904690585E-2</v>
      </c>
      <c r="GV18" s="249">
        <f t="shared" si="179"/>
        <v>1.5154762904690585E-2</v>
      </c>
      <c r="GW18" s="249" t="e">
        <f t="shared" si="180"/>
        <v>#DIV/0!</v>
      </c>
      <c r="GX18" s="249" t="e">
        <f t="shared" si="49"/>
        <v>#DIV/0!</v>
      </c>
      <c r="GZ18" s="240">
        <f t="shared" si="181"/>
        <v>1.659280610002619E-2</v>
      </c>
      <c r="HA18" s="240">
        <f t="shared" si="182"/>
        <v>1.659280610002619E-2</v>
      </c>
      <c r="HB18" s="240" t="e">
        <f t="shared" si="183"/>
        <v>#DIV/0!</v>
      </c>
      <c r="HC18" s="240" t="e">
        <f t="shared" si="50"/>
        <v>#DIV/0!</v>
      </c>
      <c r="HE18" s="234">
        <f t="shared" si="184"/>
        <v>6.5387930863437208E-2</v>
      </c>
      <c r="HF18" s="251">
        <f t="shared" si="185"/>
        <v>6.5387930863437208E-2</v>
      </c>
      <c r="HG18" s="234" t="e">
        <f t="shared" si="186"/>
        <v>#DIV/0!</v>
      </c>
      <c r="HH18" s="234" t="e">
        <f t="shared" si="51"/>
        <v>#DIV/0!</v>
      </c>
    </row>
    <row r="19" spans="2:216" ht="15.6" x14ac:dyDescent="0.25">
      <c r="B19">
        <v>15</v>
      </c>
      <c r="C19" s="124">
        <f t="shared" si="52"/>
        <v>59.557277307625419</v>
      </c>
      <c r="D19" s="124">
        <f t="shared" si="53"/>
        <v>166.347767838528</v>
      </c>
      <c r="E19" s="29">
        <f t="shared" si="54"/>
        <v>1.6872869125982848</v>
      </c>
      <c r="F19" s="29">
        <f t="shared" si="0"/>
        <v>1.6632247443716757</v>
      </c>
      <c r="G19" s="29">
        <f t="shared" si="1"/>
        <v>1.6681827331182648</v>
      </c>
      <c r="H19" s="29">
        <f t="shared" si="2"/>
        <v>1.6872869125982848</v>
      </c>
      <c r="I19" s="29">
        <f t="shared" si="3"/>
        <v>1.6594011247475275</v>
      </c>
      <c r="J19" s="125">
        <f t="shared" si="4"/>
        <v>1.6730764854868074</v>
      </c>
      <c r="K19" s="126">
        <f t="shared" si="5"/>
        <v>1.3340666999581139E-2</v>
      </c>
      <c r="L19" s="126">
        <f t="shared" si="55"/>
        <v>0.79737340852647676</v>
      </c>
      <c r="N19" s="138">
        <f t="shared" si="56"/>
        <v>351.34606195222966</v>
      </c>
      <c r="O19" s="138">
        <f t="shared" si="57"/>
        <v>416.53399999999999</v>
      </c>
      <c r="P19" s="138">
        <f t="shared" si="58"/>
        <v>341.67712990180479</v>
      </c>
      <c r="Q19" s="138">
        <f t="shared" si="59"/>
        <v>338.78746578295409</v>
      </c>
      <c r="R19" s="138">
        <f t="shared" si="60"/>
        <v>351.34606195222966</v>
      </c>
      <c r="S19" s="138">
        <f t="shared" si="61"/>
        <v>348.69187193376672</v>
      </c>
      <c r="T19" s="138">
        <f t="shared" si="62"/>
        <v>358.06376525383081</v>
      </c>
      <c r="U19" s="138">
        <f t="shared" si="63"/>
        <v>29.109975439435431</v>
      </c>
      <c r="V19" s="138">
        <f t="shared" si="64"/>
        <v>8.1298300091324283</v>
      </c>
      <c r="X19" s="227">
        <f t="shared" si="65"/>
        <v>0.41467865625</v>
      </c>
      <c r="Y19" s="227">
        <f t="shared" si="66"/>
        <v>0.45231767303558268</v>
      </c>
      <c r="Z19" s="227">
        <f t="shared" si="67"/>
        <v>0.41467865625</v>
      </c>
      <c r="AA19" s="227">
        <f t="shared" si="68"/>
        <v>0.42722499517852758</v>
      </c>
      <c r="AB19" s="227">
        <f t="shared" si="69"/>
        <v>2.1730896473189001E-2</v>
      </c>
      <c r="AC19" s="227">
        <f t="shared" si="70"/>
        <v>5.0865227265338619</v>
      </c>
      <c r="AE19" s="228">
        <f t="shared" si="71"/>
        <v>3.6053861327933574</v>
      </c>
      <c r="AF19" s="228">
        <f t="shared" si="72"/>
        <v>5.0775249999999996</v>
      </c>
      <c r="AG19" s="228">
        <f t="shared" si="73"/>
        <v>3.6053861327933574</v>
      </c>
      <c r="AH19" s="228">
        <f t="shared" si="74"/>
        <v>5.3410464384058738</v>
      </c>
      <c r="AI19" s="228">
        <f t="shared" si="75"/>
        <v>5.0775249999999996</v>
      </c>
      <c r="AJ19" s="228">
        <f t="shared" si="76"/>
        <v>4.5319176544610213</v>
      </c>
      <c r="AK19" s="228">
        <f t="shared" si="77"/>
        <v>4.4918346195010077</v>
      </c>
      <c r="AL19" s="228">
        <f t="shared" si="78"/>
        <v>4.5329458539935175</v>
      </c>
      <c r="AM19" s="228">
        <f t="shared" si="79"/>
        <v>0.70339471027290779</v>
      </c>
      <c r="AN19" s="228">
        <f t="shared" si="80"/>
        <v>15.517386108929987</v>
      </c>
      <c r="AP19" s="229">
        <f t="shared" si="81"/>
        <v>1.3577127659574468</v>
      </c>
      <c r="AQ19" s="229">
        <f t="shared" si="82"/>
        <v>1.3898862546251884</v>
      </c>
      <c r="AR19" s="229">
        <f t="shared" si="83"/>
        <v>1.2210346266974441</v>
      </c>
      <c r="AS19" s="229">
        <f t="shared" si="84"/>
        <v>1.4341713194699768</v>
      </c>
      <c r="AT19" s="229">
        <f t="shared" si="85"/>
        <v>1.3577127659574468</v>
      </c>
      <c r="AU19" s="229">
        <f t="shared" si="86"/>
        <v>0.36951849906487721</v>
      </c>
      <c r="AV19" s="229">
        <f t="shared" si="87"/>
        <v>1.3898862546251884</v>
      </c>
      <c r="AW19" s="229">
        <f t="shared" si="88"/>
        <v>1.4485035951586973</v>
      </c>
      <c r="AX19" s="229">
        <f t="shared" si="89"/>
        <v>1.4826639384462055</v>
      </c>
      <c r="AY19" s="229">
        <f t="shared" si="90"/>
        <v>1.2723433355558302</v>
      </c>
      <c r="AZ19" s="229">
        <f t="shared" si="91"/>
        <v>0.34666073352987248</v>
      </c>
      <c r="BA19" s="229">
        <f t="shared" si="92"/>
        <v>27.245848179684284</v>
      </c>
      <c r="BC19" s="230">
        <f t="shared" si="93"/>
        <v>8.322637499999999</v>
      </c>
      <c r="BD19" s="230">
        <f t="shared" si="94"/>
        <v>16.079895126697444</v>
      </c>
      <c r="BE19" s="230">
        <f t="shared" si="95"/>
        <v>8.322637499999999</v>
      </c>
      <c r="BF19" s="230">
        <f t="shared" si="96"/>
        <v>7.8094299669786977</v>
      </c>
      <c r="BG19" s="230">
        <f t="shared" si="97"/>
        <v>10.133650023419035</v>
      </c>
      <c r="BH19" s="230">
        <f t="shared" si="98"/>
        <v>3.9715388461310197</v>
      </c>
      <c r="BI19" s="230">
        <f t="shared" si="99"/>
        <v>39.19159273265533</v>
      </c>
      <c r="BK19" s="227">
        <f t="shared" si="6"/>
        <v>13.273076923076921</v>
      </c>
      <c r="BL19" s="227">
        <f t="shared" si="7"/>
        <v>24.494909100802381</v>
      </c>
      <c r="BM19" s="227">
        <f t="shared" si="8"/>
        <v>22.97613356192312</v>
      </c>
      <c r="BN19" s="227">
        <f t="shared" si="9"/>
        <v>19.996624263795205</v>
      </c>
      <c r="BO19" s="227">
        <f t="shared" si="10"/>
        <v>13.273076923076921</v>
      </c>
      <c r="BP19" s="227">
        <f t="shared" si="11"/>
        <v>22.25177120266013</v>
      </c>
      <c r="BQ19" s="227">
        <f t="shared" si="12"/>
        <v>27.177535168942683</v>
      </c>
      <c r="BR19" s="227">
        <f t="shared" si="100"/>
        <v>20.49187530632534</v>
      </c>
      <c r="BS19" s="227">
        <f t="shared" si="101"/>
        <v>5.3922548436914788</v>
      </c>
      <c r="BT19" s="227">
        <f t="shared" si="13"/>
        <v>26.314111144464274</v>
      </c>
      <c r="BV19" s="231">
        <f t="shared" si="102"/>
        <v>0.21783755952380993</v>
      </c>
      <c r="BW19" s="231">
        <f t="shared" si="103"/>
        <v>0.25774702785399661</v>
      </c>
      <c r="BX19" s="231">
        <f t="shared" si="104"/>
        <v>0.26543441005722335</v>
      </c>
      <c r="BY19" s="231">
        <f t="shared" si="105"/>
        <v>0.21783755952380993</v>
      </c>
      <c r="BZ19" s="231">
        <f t="shared" si="106"/>
        <v>0.25799511552128179</v>
      </c>
      <c r="CA19" s="231">
        <f t="shared" si="107"/>
        <v>0.2608458859085756</v>
      </c>
      <c r="CB19" s="231">
        <f t="shared" si="108"/>
        <v>0.40233709725879563</v>
      </c>
      <c r="CC19" s="231">
        <f t="shared" si="109"/>
        <v>0.42165493434365869</v>
      </c>
      <c r="CD19" s="231">
        <f t="shared" si="110"/>
        <v>0.28771119874889395</v>
      </c>
      <c r="CE19" s="231">
        <f t="shared" si="111"/>
        <v>7.9141436969902543E-2</v>
      </c>
      <c r="CF19" s="231">
        <f t="shared" si="14"/>
        <v>27.507249392462789</v>
      </c>
      <c r="CH19" s="232">
        <f t="shared" si="112"/>
        <v>1.2146753942185682</v>
      </c>
      <c r="CI19" s="232">
        <f t="shared" si="113"/>
        <v>1.282411904761904</v>
      </c>
      <c r="CJ19" s="232">
        <f t="shared" si="114"/>
        <v>1.8698848879995236</v>
      </c>
      <c r="CK19" s="232">
        <f t="shared" si="115"/>
        <v>1.5077344104303168</v>
      </c>
      <c r="CL19" s="232">
        <f t="shared" si="116"/>
        <v>1.4943655560101916</v>
      </c>
      <c r="CM19" s="232">
        <f t="shared" si="117"/>
        <v>1.2146753942185682</v>
      </c>
      <c r="CN19" s="232">
        <f t="shared" si="118"/>
        <v>1.2146753942185682</v>
      </c>
      <c r="CO19" s="232">
        <f t="shared" si="119"/>
        <v>1.4139219228189785</v>
      </c>
      <c r="CP19" s="232">
        <f t="shared" si="120"/>
        <v>1.282411904761904</v>
      </c>
      <c r="CQ19" s="232">
        <f t="shared" si="121"/>
        <v>1.2666857530460327</v>
      </c>
      <c r="CR19" s="232">
        <f t="shared" si="122"/>
        <v>1.3761442522484557</v>
      </c>
      <c r="CS19" s="232">
        <f t="shared" si="123"/>
        <v>0.20663130329104443</v>
      </c>
      <c r="CT19" s="232">
        <f t="shared" si="15"/>
        <v>15.015235717726066</v>
      </c>
      <c r="CV19" s="229">
        <f t="shared" si="16"/>
        <v>0.65092904761904702</v>
      </c>
      <c r="CW19" s="229">
        <f t="shared" si="17"/>
        <v>0.83898115738997392</v>
      </c>
      <c r="CX19" s="229">
        <f t="shared" si="18"/>
        <v>0.4907719639996001</v>
      </c>
      <c r="CY19" s="229">
        <f t="shared" si="19"/>
        <v>0.48748353324407501</v>
      </c>
      <c r="CZ19" s="229">
        <f t="shared" si="20"/>
        <v>0.94637370566830148</v>
      </c>
      <c r="DA19" s="229">
        <f t="shared" si="21"/>
        <v>0.65092904761904702</v>
      </c>
      <c r="DB19" s="229">
        <f t="shared" si="22"/>
        <v>0.40498948569185284</v>
      </c>
      <c r="DC19" s="229">
        <f t="shared" si="23"/>
        <v>0.80500775279448022</v>
      </c>
      <c r="DD19" s="229">
        <f t="shared" si="24"/>
        <v>0.65943321175329705</v>
      </c>
      <c r="DE19" s="229">
        <f t="shared" si="25"/>
        <v>0.19222896266484815</v>
      </c>
      <c r="DF19" s="229">
        <f t="shared" si="26"/>
        <v>29.150634095870142</v>
      </c>
      <c r="DH19" s="234">
        <f t="shared" si="124"/>
        <v>2.2200000000000001E-2</v>
      </c>
      <c r="DI19" s="234">
        <f t="shared" si="125"/>
        <v>0.03</v>
      </c>
      <c r="DJ19" s="234">
        <f t="shared" si="126"/>
        <v>9.2608502252249869E-2</v>
      </c>
      <c r="DK19" s="234">
        <f t="shared" si="27"/>
        <v>4.8269500750749955E-2</v>
      </c>
      <c r="DL19" s="234">
        <f t="shared" si="28"/>
        <v>3.8596247105288722E-2</v>
      </c>
      <c r="DM19" s="234">
        <f t="shared" si="29"/>
        <v>79.959905333574554</v>
      </c>
      <c r="DO19" s="229">
        <f t="shared" si="127"/>
        <v>2.1179500000000009</v>
      </c>
      <c r="DP19" s="229">
        <f t="shared" si="128"/>
        <v>2.9149089992524928</v>
      </c>
      <c r="DQ19" s="229">
        <f t="shared" si="129"/>
        <v>2.2244899913205223</v>
      </c>
      <c r="DR19" s="229">
        <f t="shared" si="130"/>
        <v>2.5096147282302108</v>
      </c>
      <c r="DS19" s="229">
        <f t="shared" si="131"/>
        <v>2.1787959607845049</v>
      </c>
      <c r="DT19" s="229">
        <f t="shared" si="132"/>
        <v>2.1179500000000009</v>
      </c>
      <c r="DU19" s="229">
        <f t="shared" si="133"/>
        <v>-9.0821249999999784E-2</v>
      </c>
      <c r="DV19" s="229">
        <f t="shared" si="134"/>
        <v>2.0220150672741695</v>
      </c>
      <c r="DW19" s="229">
        <f t="shared" si="30"/>
        <v>1.9993629371077379</v>
      </c>
      <c r="DX19" s="229">
        <f t="shared" si="31"/>
        <v>0.89274606218149011</v>
      </c>
      <c r="DY19" s="229">
        <f t="shared" si="32"/>
        <v>44.651526024230961</v>
      </c>
      <c r="EA19" s="235">
        <f t="shared" si="135"/>
        <v>0.12729601518026556</v>
      </c>
      <c r="EB19" s="235">
        <f t="shared" si="136"/>
        <v>0.16606152930853485</v>
      </c>
      <c r="EC19" s="235">
        <f t="shared" si="137"/>
        <v>0.12729601518026556</v>
      </c>
      <c r="ED19" s="235">
        <f t="shared" si="138"/>
        <v>0.12507028234601336</v>
      </c>
      <c r="EE19" s="235">
        <f t="shared" si="139"/>
        <v>0.11694569979282857</v>
      </c>
      <c r="EF19" s="235">
        <f t="shared" si="140"/>
        <v>0.13253390836158158</v>
      </c>
      <c r="EG19" s="235">
        <f t="shared" si="141"/>
        <v>1.9220239176474457E-2</v>
      </c>
      <c r="EH19" s="235">
        <f t="shared" si="33"/>
        <v>14.502129616548714</v>
      </c>
      <c r="EJ19" s="229">
        <f t="shared" si="142"/>
        <v>9.7096206331877735</v>
      </c>
      <c r="EK19" s="229">
        <f t="shared" si="143"/>
        <v>14.690337163943321</v>
      </c>
      <c r="EL19" s="229">
        <f t="shared" si="144"/>
        <v>8.8917625000000005</v>
      </c>
      <c r="EM19" s="229">
        <f t="shared" si="145"/>
        <v>11.969365730923927</v>
      </c>
      <c r="EN19" s="229">
        <f t="shared" si="146"/>
        <v>12.183846348090304</v>
      </c>
      <c r="EO19" s="229">
        <f t="shared" si="34"/>
        <v>13.422138481324966</v>
      </c>
      <c r="EP19" s="229">
        <f t="shared" si="147"/>
        <v>9.5669589004136988</v>
      </c>
      <c r="EQ19" s="229">
        <f t="shared" si="148"/>
        <v>11.490575679697713</v>
      </c>
      <c r="ER19" s="229">
        <f t="shared" si="149"/>
        <v>2.1719885235923497</v>
      </c>
      <c r="ES19" s="229">
        <f t="shared" si="35"/>
        <v>18.902347316070149</v>
      </c>
      <c r="EU19" s="238">
        <f t="shared" si="191"/>
        <v>1.191145546153132E-2</v>
      </c>
      <c r="EV19" s="238">
        <f t="shared" si="151"/>
        <v>1.191145546153132E-2</v>
      </c>
      <c r="EW19" s="238" t="e">
        <f t="shared" si="152"/>
        <v>#DIV/0!</v>
      </c>
      <c r="EX19" s="238" t="e">
        <f t="shared" si="36"/>
        <v>#DIV/0!</v>
      </c>
      <c r="EZ19" s="240">
        <f t="shared" si="153"/>
        <v>1.565376532783274E-2</v>
      </c>
      <c r="FA19" s="240">
        <f t="shared" si="154"/>
        <v>1.565376532783274E-2</v>
      </c>
      <c r="FB19" s="240" t="e">
        <f t="shared" si="155"/>
        <v>#DIV/0!</v>
      </c>
      <c r="FC19" s="240" t="e">
        <f t="shared" si="37"/>
        <v>#DIV/0!</v>
      </c>
      <c r="FE19" s="236">
        <f t="shared" si="156"/>
        <v>0.67083112980769188</v>
      </c>
      <c r="FF19" s="236">
        <f t="shared" si="157"/>
        <v>1.0081852757809895</v>
      </c>
      <c r="FG19" s="236">
        <f t="shared" si="158"/>
        <v>1.0031673915236972</v>
      </c>
      <c r="FH19" s="236">
        <f t="shared" si="159"/>
        <v>0.98269507557581948</v>
      </c>
      <c r="FI19" s="236">
        <f t="shared" si="160"/>
        <v>0.9</v>
      </c>
      <c r="FJ19" s="236">
        <f t="shared" si="161"/>
        <v>0.87180240309288615</v>
      </c>
      <c r="FK19" s="236">
        <f t="shared" si="38"/>
        <v>0.90611354596351401</v>
      </c>
      <c r="FL19" s="236">
        <f t="shared" si="39"/>
        <v>0.1282772489299413</v>
      </c>
      <c r="FM19" s="236">
        <f t="shared" si="40"/>
        <v>14.156862514789795</v>
      </c>
      <c r="FO19" s="227">
        <f t="shared" si="162"/>
        <v>0.247542718446602</v>
      </c>
      <c r="FP19" s="227">
        <f t="shared" si="163"/>
        <v>0.27263470869971523</v>
      </c>
      <c r="FQ19" s="227">
        <f t="shared" si="164"/>
        <v>0.28766129980137567</v>
      </c>
      <c r="FR19" s="227">
        <f t="shared" si="165"/>
        <v>0.247542718446602</v>
      </c>
      <c r="FS19" s="227">
        <f t="shared" si="166"/>
        <v>0.26800774788431436</v>
      </c>
      <c r="FT19" s="227">
        <f t="shared" si="41"/>
        <v>0.26467783865572186</v>
      </c>
      <c r="FU19" s="227">
        <f t="shared" si="42"/>
        <v>1.7247204496406213E-2</v>
      </c>
      <c r="FV19" s="227">
        <f t="shared" si="43"/>
        <v>6.5163009430647536</v>
      </c>
      <c r="FX19" s="230">
        <f t="shared" si="167"/>
        <v>2.6467785000000061</v>
      </c>
      <c r="FY19" s="230">
        <f t="shared" si="168"/>
        <v>1.2507028234601338</v>
      </c>
      <c r="FZ19" s="230">
        <f t="shared" si="169"/>
        <v>2.6467785000000061</v>
      </c>
      <c r="GA19" s="230">
        <f t="shared" si="170"/>
        <v>2.5760465234059504</v>
      </c>
      <c r="GB19" s="230">
        <f t="shared" si="44"/>
        <v>2.2800765867165245</v>
      </c>
      <c r="GC19" s="230">
        <f t="shared" si="45"/>
        <v>0.68705873943841056</v>
      </c>
      <c r="GD19" s="230">
        <f t="shared" si="46"/>
        <v>30.133143046209028</v>
      </c>
      <c r="GF19" s="231">
        <f t="shared" si="171"/>
        <v>4.5122380952380955E-2</v>
      </c>
      <c r="GG19" s="231">
        <f t="shared" si="172"/>
        <v>4.40050733835664E-2</v>
      </c>
      <c r="GH19" s="231">
        <f t="shared" si="173"/>
        <v>0.06</v>
      </c>
      <c r="GI19" s="231">
        <f t="shared" si="174"/>
        <v>2.3316659176616038E-2</v>
      </c>
      <c r="GJ19" s="245">
        <f t="shared" si="187"/>
        <v>4.3111028378140848E-2</v>
      </c>
      <c r="GK19" s="231">
        <f t="shared" si="188"/>
        <v>1.5076463667804284E-2</v>
      </c>
      <c r="GL19" s="231">
        <f t="shared" si="47"/>
        <v>34.971245722935947</v>
      </c>
      <c r="GN19" s="246">
        <f t="shared" si="175"/>
        <v>0.13128846153846152</v>
      </c>
      <c r="GO19" s="246">
        <f t="shared" si="176"/>
        <v>0.13128846153846152</v>
      </c>
      <c r="GP19" s="246">
        <f t="shared" si="177"/>
        <v>0.12507028234601336</v>
      </c>
      <c r="GQ19" s="247">
        <f t="shared" si="189"/>
        <v>0.12921573514097881</v>
      </c>
      <c r="GR19" s="246">
        <f t="shared" si="190"/>
        <v>3.5900674306292742E-3</v>
      </c>
      <c r="GS19" s="246">
        <f t="shared" si="48"/>
        <v>2.7783515890788277</v>
      </c>
      <c r="GU19" s="249">
        <f t="shared" si="178"/>
        <v>1.6318693982289363E-2</v>
      </c>
      <c r="GV19" s="249">
        <f t="shared" si="179"/>
        <v>1.6318693982289363E-2</v>
      </c>
      <c r="GW19" s="249" t="e">
        <f t="shared" si="180"/>
        <v>#DIV/0!</v>
      </c>
      <c r="GX19" s="249" t="e">
        <f t="shared" si="49"/>
        <v>#DIV/0!</v>
      </c>
      <c r="GZ19" s="240">
        <f t="shared" si="181"/>
        <v>1.7867183192287629E-2</v>
      </c>
      <c r="HA19" s="240">
        <f t="shared" si="182"/>
        <v>1.7867183192287629E-2</v>
      </c>
      <c r="HB19" s="240" t="e">
        <f t="shared" si="183"/>
        <v>#DIV/0!</v>
      </c>
      <c r="HC19" s="240" t="e">
        <f t="shared" si="50"/>
        <v>#DIV/0!</v>
      </c>
      <c r="HE19" s="234">
        <f t="shared" si="184"/>
        <v>7.0442959996074236E-2</v>
      </c>
      <c r="HF19" s="251">
        <f t="shared" si="185"/>
        <v>7.0442959996074236E-2</v>
      </c>
      <c r="HG19" s="234" t="e">
        <f t="shared" si="186"/>
        <v>#DIV/0!</v>
      </c>
      <c r="HH19" s="234" t="e">
        <f t="shared" si="51"/>
        <v>#DIV/0!</v>
      </c>
    </row>
    <row r="20" spans="2:216" ht="15.6" x14ac:dyDescent="0.25">
      <c r="B20">
        <v>16</v>
      </c>
      <c r="C20" s="124">
        <f t="shared" si="52"/>
        <v>63.36371465888864</v>
      </c>
      <c r="D20" s="124">
        <f t="shared" si="53"/>
        <v>169.47575737125194</v>
      </c>
      <c r="E20" s="29">
        <f t="shared" si="54"/>
        <v>1.7562163065189444</v>
      </c>
      <c r="F20" s="29">
        <f t="shared" si="0"/>
        <v>1.7308187417280878</v>
      </c>
      <c r="G20" s="29">
        <f t="shared" si="1"/>
        <v>1.7358585831844673</v>
      </c>
      <c r="H20" s="29">
        <f t="shared" si="2"/>
        <v>1.7562163065189444</v>
      </c>
      <c r="I20" s="29">
        <f t="shared" si="3"/>
        <v>1.7283370196490941</v>
      </c>
      <c r="J20" s="125">
        <f t="shared" si="4"/>
        <v>1.7414893915199077</v>
      </c>
      <c r="K20" s="126">
        <f t="shared" si="5"/>
        <v>1.3714205282261218E-2</v>
      </c>
      <c r="L20" s="126">
        <f t="shared" si="55"/>
        <v>0.78749864047646978</v>
      </c>
      <c r="N20" s="138">
        <f t="shared" si="56"/>
        <v>365.71277221918064</v>
      </c>
      <c r="O20" s="138">
        <f t="shared" si="57"/>
        <v>427.86359999999996</v>
      </c>
      <c r="P20" s="138">
        <f t="shared" si="58"/>
        <v>354.76492389081329</v>
      </c>
      <c r="Q20" s="138">
        <f t="shared" si="59"/>
        <v>355.14029648820087</v>
      </c>
      <c r="R20" s="138">
        <f t="shared" si="60"/>
        <v>365.71277221918064</v>
      </c>
      <c r="S20" s="138">
        <f t="shared" si="61"/>
        <v>354.8666666321015</v>
      </c>
      <c r="T20" s="138">
        <f t="shared" si="62"/>
        <v>370.67683857491284</v>
      </c>
      <c r="U20" s="138">
        <f t="shared" si="63"/>
        <v>28.510153621632949</v>
      </c>
      <c r="V20" s="138">
        <f t="shared" si="64"/>
        <v>7.6913771389768444</v>
      </c>
      <c r="X20" s="227">
        <f t="shared" si="65"/>
        <v>0.41830147039999999</v>
      </c>
      <c r="Y20" s="227">
        <f t="shared" si="66"/>
        <v>0.4571389630318663</v>
      </c>
      <c r="Z20" s="227">
        <f t="shared" si="67"/>
        <v>0.41830147039999999</v>
      </c>
      <c r="AA20" s="227">
        <f t="shared" si="68"/>
        <v>0.43124730127728877</v>
      </c>
      <c r="AB20" s="227">
        <f t="shared" si="69"/>
        <v>2.242283682565812E-2</v>
      </c>
      <c r="AC20" s="227">
        <f t="shared" si="70"/>
        <v>5.1995309325403536</v>
      </c>
      <c r="AE20" s="228">
        <f t="shared" si="71"/>
        <v>3.7842563707600969</v>
      </c>
      <c r="AF20" s="228">
        <f t="shared" si="72"/>
        <v>5.5433351999999925</v>
      </c>
      <c r="AG20" s="228">
        <f t="shared" si="73"/>
        <v>3.7842563707600969</v>
      </c>
      <c r="AH20" s="228">
        <f t="shared" si="74"/>
        <v>5.6823201351643622</v>
      </c>
      <c r="AI20" s="228">
        <f t="shared" si="75"/>
        <v>5.5433351999999925</v>
      </c>
      <c r="AJ20" s="228">
        <f t="shared" si="76"/>
        <v>4.8217484643507946</v>
      </c>
      <c r="AK20" s="228">
        <f t="shared" si="77"/>
        <v>4.7067544092087665</v>
      </c>
      <c r="AL20" s="228">
        <f t="shared" si="78"/>
        <v>4.8380008786063007</v>
      </c>
      <c r="AM20" s="228">
        <f t="shared" si="79"/>
        <v>0.81097808942833993</v>
      </c>
      <c r="AN20" s="228">
        <f t="shared" si="80"/>
        <v>16.76266932927803</v>
      </c>
      <c r="AP20" s="229">
        <f t="shared" si="81"/>
        <v>1.3627631139325092</v>
      </c>
      <c r="AQ20" s="229">
        <f t="shared" si="82"/>
        <v>1.3934679845294371</v>
      </c>
      <c r="AR20" s="229">
        <f t="shared" si="83"/>
        <v>1.178764914185179</v>
      </c>
      <c r="AS20" s="229">
        <f t="shared" si="84"/>
        <v>1.4471010812912179</v>
      </c>
      <c r="AT20" s="229">
        <f t="shared" si="85"/>
        <v>1.3627631139325092</v>
      </c>
      <c r="AU20" s="229">
        <f t="shared" si="86"/>
        <v>0.36863522005825289</v>
      </c>
      <c r="AV20" s="229">
        <f t="shared" si="87"/>
        <v>1.3934679845294371</v>
      </c>
      <c r="AW20" s="229">
        <f t="shared" si="88"/>
        <v>1.4490362607815159</v>
      </c>
      <c r="AX20" s="229">
        <f t="shared" si="89"/>
        <v>1.4803086696880512</v>
      </c>
      <c r="AY20" s="229">
        <f t="shared" si="90"/>
        <v>1.2707009269920122</v>
      </c>
      <c r="AZ20" s="229">
        <f t="shared" si="91"/>
        <v>0.34930736374838561</v>
      </c>
      <c r="BA20" s="229">
        <f t="shared" si="92"/>
        <v>27.48934515812952</v>
      </c>
      <c r="BC20" s="230">
        <f t="shared" si="93"/>
        <v>9.213800000000008</v>
      </c>
      <c r="BD20" s="230">
        <f t="shared" si="94"/>
        <v>17.001885414185178</v>
      </c>
      <c r="BE20" s="230">
        <f t="shared" si="95"/>
        <v>9.213800000000008</v>
      </c>
      <c r="BF20" s="230">
        <f t="shared" si="96"/>
        <v>8.607514222598045</v>
      </c>
      <c r="BG20" s="230">
        <f t="shared" si="97"/>
        <v>11.009249909195809</v>
      </c>
      <c r="BH20" s="230">
        <f t="shared" si="98"/>
        <v>4.0053004613386571</v>
      </c>
      <c r="BI20" s="230">
        <f t="shared" si="99"/>
        <v>36.381229369614985</v>
      </c>
      <c r="BK20" s="227">
        <f t="shared" si="6"/>
        <v>15.221665384615385</v>
      </c>
      <c r="BL20" s="227">
        <f t="shared" si="7"/>
        <v>26.552974770061354</v>
      </c>
      <c r="BM20" s="227">
        <f t="shared" si="8"/>
        <v>24.823871364699848</v>
      </c>
      <c r="BN20" s="227">
        <f t="shared" si="9"/>
        <v>20.716264787580613</v>
      </c>
      <c r="BO20" s="227">
        <f t="shared" si="10"/>
        <v>15.221665384615385</v>
      </c>
      <c r="BP20" s="227">
        <f t="shared" si="11"/>
        <v>23.871259326171366</v>
      </c>
      <c r="BQ20" s="227">
        <f t="shared" si="12"/>
        <v>29.644881924848743</v>
      </c>
      <c r="BR20" s="227">
        <f t="shared" si="100"/>
        <v>22.293226134656098</v>
      </c>
      <c r="BS20" s="227">
        <f t="shared" si="101"/>
        <v>5.5315369368344021</v>
      </c>
      <c r="BT20" s="227">
        <f t="shared" si="13"/>
        <v>24.812635476905296</v>
      </c>
      <c r="BV20" s="231">
        <f t="shared" si="102"/>
        <v>0.23194500114285763</v>
      </c>
      <c r="BW20" s="231">
        <f t="shared" si="103"/>
        <v>0.27057716502076912</v>
      </c>
      <c r="BX20" s="231">
        <f t="shared" si="104"/>
        <v>0.27613585473916619</v>
      </c>
      <c r="BY20" s="231">
        <f t="shared" si="105"/>
        <v>0.23194500114285763</v>
      </c>
      <c r="BZ20" s="231">
        <f t="shared" si="106"/>
        <v>0.27284731807690532</v>
      </c>
      <c r="CA20" s="231">
        <f t="shared" si="107"/>
        <v>0.2732724658872564</v>
      </c>
      <c r="CB20" s="231">
        <f t="shared" si="108"/>
        <v>0.42982759585406299</v>
      </c>
      <c r="CC20" s="231">
        <f t="shared" si="109"/>
        <v>0.43471252453346043</v>
      </c>
      <c r="CD20" s="231">
        <f t="shared" si="110"/>
        <v>0.30265786579966697</v>
      </c>
      <c r="CE20" s="231">
        <f t="shared" si="111"/>
        <v>8.2024343518993376E-2</v>
      </c>
      <c r="CF20" s="231">
        <f t="shared" si="14"/>
        <v>27.101342072267936</v>
      </c>
      <c r="CH20" s="232">
        <f t="shared" si="112"/>
        <v>1.2748137920099365</v>
      </c>
      <c r="CI20" s="232">
        <f t="shared" si="113"/>
        <v>1.3609356190476194</v>
      </c>
      <c r="CJ20" s="232">
        <f t="shared" si="114"/>
        <v>1.9476386134627524</v>
      </c>
      <c r="CK20" s="232">
        <f t="shared" si="115"/>
        <v>1.5964553392373977</v>
      </c>
      <c r="CL20" s="232">
        <f t="shared" si="116"/>
        <v>1.5906076625310002</v>
      </c>
      <c r="CM20" s="232">
        <f t="shared" si="117"/>
        <v>1.2748137920099365</v>
      </c>
      <c r="CN20" s="232">
        <f t="shared" si="118"/>
        <v>1.2748137920099365</v>
      </c>
      <c r="CO20" s="232">
        <f t="shared" si="119"/>
        <v>1.4992212296650407</v>
      </c>
      <c r="CP20" s="232">
        <f t="shared" si="120"/>
        <v>1.3609356190476194</v>
      </c>
      <c r="CQ20" s="232">
        <f t="shared" si="121"/>
        <v>1.3161359092751059</v>
      </c>
      <c r="CR20" s="232">
        <f t="shared" si="122"/>
        <v>1.4496371368296346</v>
      </c>
      <c r="CS20" s="232">
        <f t="shared" si="123"/>
        <v>0.21528803151434972</v>
      </c>
      <c r="CT20" s="232">
        <f t="shared" si="15"/>
        <v>14.851166960663409</v>
      </c>
      <c r="CV20" s="229">
        <f t="shared" si="16"/>
        <v>0.71277123809523801</v>
      </c>
      <c r="CW20" s="229">
        <f t="shared" si="17"/>
        <v>0.8947671331490844</v>
      </c>
      <c r="CX20" s="229">
        <f t="shared" si="18"/>
        <v>0.53068853639620528</v>
      </c>
      <c r="CY20" s="229">
        <f t="shared" si="19"/>
        <v>0.50110846089091088</v>
      </c>
      <c r="CZ20" s="229">
        <f t="shared" si="20"/>
        <v>0.99588439739585455</v>
      </c>
      <c r="DA20" s="229">
        <f t="shared" si="21"/>
        <v>0.71277123809523801</v>
      </c>
      <c r="DB20" s="229">
        <f t="shared" si="22"/>
        <v>0.43087325968044271</v>
      </c>
      <c r="DC20" s="229">
        <f t="shared" si="23"/>
        <v>0.84514426483379235</v>
      </c>
      <c r="DD20" s="229">
        <f t="shared" si="24"/>
        <v>0.70300106606709578</v>
      </c>
      <c r="DE20" s="229">
        <f t="shared" si="25"/>
        <v>0.2026454492274245</v>
      </c>
      <c r="DF20" s="229">
        <f t="shared" si="26"/>
        <v>28.825766987966933</v>
      </c>
      <c r="DH20" s="234">
        <f t="shared" si="124"/>
        <v>2.368E-2</v>
      </c>
      <c r="DI20" s="234">
        <f t="shared" si="125"/>
        <v>3.2000000000000001E-2</v>
      </c>
      <c r="DJ20" s="234">
        <f t="shared" si="126"/>
        <v>9.7356712957555436E-2</v>
      </c>
      <c r="DK20" s="234">
        <f t="shared" si="27"/>
        <v>5.1012237652518479E-2</v>
      </c>
      <c r="DL20" s="234">
        <f t="shared" si="28"/>
        <v>4.0350506731321047E-2</v>
      </c>
      <c r="DM20" s="234">
        <f t="shared" si="29"/>
        <v>79.099660372041996</v>
      </c>
      <c r="DO20" s="229">
        <f t="shared" si="127"/>
        <v>2.2275839999999998</v>
      </c>
      <c r="DP20" s="229">
        <f t="shared" si="128"/>
        <v>3.1085112714597418</v>
      </c>
      <c r="DQ20" s="229">
        <f t="shared" si="129"/>
        <v>2.5194985427659686</v>
      </c>
      <c r="DR20" s="229">
        <f t="shared" si="130"/>
        <v>2.6122340872798619</v>
      </c>
      <c r="DS20" s="229">
        <f t="shared" si="131"/>
        <v>2.2605200789047997</v>
      </c>
      <c r="DT20" s="229">
        <f t="shared" si="132"/>
        <v>2.2275839999999998</v>
      </c>
      <c r="DU20" s="229">
        <f t="shared" si="133"/>
        <v>-6.2623359999999711E-2</v>
      </c>
      <c r="DV20" s="229">
        <f t="shared" si="134"/>
        <v>2.2620958213438795</v>
      </c>
      <c r="DW20" s="229">
        <f t="shared" si="30"/>
        <v>2.1444255552192817</v>
      </c>
      <c r="DX20" s="229">
        <f t="shared" si="31"/>
        <v>0.9412154478516177</v>
      </c>
      <c r="DY20" s="229">
        <f t="shared" si="32"/>
        <v>43.891262420409468</v>
      </c>
      <c r="EA20" s="235">
        <f t="shared" si="135"/>
        <v>0.13630094876660337</v>
      </c>
      <c r="EB20" s="235">
        <f t="shared" si="136"/>
        <v>0.17533146066770464</v>
      </c>
      <c r="EC20" s="235">
        <f t="shared" si="137"/>
        <v>0.13630094876660337</v>
      </c>
      <c r="ED20" s="235">
        <f t="shared" si="138"/>
        <v>0.13306380078366614</v>
      </c>
      <c r="EE20" s="235">
        <f t="shared" si="139"/>
        <v>0.12235951593618812</v>
      </c>
      <c r="EF20" s="235">
        <f t="shared" si="140"/>
        <v>0.14067133498415313</v>
      </c>
      <c r="EG20" s="235">
        <f t="shared" si="141"/>
        <v>2.0203478396291677E-2</v>
      </c>
      <c r="EH20" s="235">
        <f t="shared" si="33"/>
        <v>14.362185727865334</v>
      </c>
      <c r="EJ20" s="229">
        <f t="shared" si="142"/>
        <v>9.7786567685589638</v>
      </c>
      <c r="EK20" s="229">
        <f t="shared" si="143"/>
        <v>15.426598255435126</v>
      </c>
      <c r="EL20" s="229">
        <f t="shared" si="144"/>
        <v>8.9546896000000125</v>
      </c>
      <c r="EM20" s="229">
        <f t="shared" si="145"/>
        <v>12.486540419564227</v>
      </c>
      <c r="EN20" s="229">
        <f t="shared" si="146"/>
        <v>12.894003810352828</v>
      </c>
      <c r="EO20" s="229">
        <f t="shared" si="34"/>
        <v>14.11011165829939</v>
      </c>
      <c r="EP20" s="229">
        <f t="shared" si="147"/>
        <v>11.062231559318858</v>
      </c>
      <c r="EQ20" s="229">
        <f t="shared" si="148"/>
        <v>12.101833153075631</v>
      </c>
      <c r="ER20" s="229">
        <f t="shared" si="149"/>
        <v>2.3182325200654557</v>
      </c>
      <c r="ES20" s="229">
        <f t="shared" si="35"/>
        <v>19.156044301241142</v>
      </c>
      <c r="EU20" s="238">
        <f t="shared" si="191"/>
        <v>1.2672742931778608E-2</v>
      </c>
      <c r="EV20" s="238">
        <f t="shared" si="151"/>
        <v>1.2672742931778608E-2</v>
      </c>
      <c r="EW20" s="238" t="e">
        <f t="shared" si="152"/>
        <v>#DIV/0!</v>
      </c>
      <c r="EX20" s="238" t="e">
        <f t="shared" si="36"/>
        <v>#DIV/0!</v>
      </c>
      <c r="EZ20" s="240">
        <f t="shared" si="153"/>
        <v>2.0199788017181749E-2</v>
      </c>
      <c r="FA20" s="240">
        <f t="shared" si="154"/>
        <v>2.0199788017181749E-2</v>
      </c>
      <c r="FB20" s="240" t="e">
        <f t="shared" si="155"/>
        <v>#DIV/0!</v>
      </c>
      <c r="FC20" s="240" t="e">
        <f t="shared" si="37"/>
        <v>#DIV/0!</v>
      </c>
      <c r="FE20" s="236">
        <f t="shared" si="156"/>
        <v>0.75561354615384613</v>
      </c>
      <c r="FF20" s="236">
        <f t="shared" si="157"/>
        <v>1.0763785576489904</v>
      </c>
      <c r="FG20" s="236">
        <f t="shared" si="158"/>
        <v>1.068368394276265</v>
      </c>
      <c r="FH20" s="236">
        <f t="shared" si="159"/>
        <v>1.0455012918716626</v>
      </c>
      <c r="FI20" s="236">
        <f t="shared" si="160"/>
        <v>0.9</v>
      </c>
      <c r="FJ20" s="236">
        <f t="shared" si="161"/>
        <v>0.88709200522444098</v>
      </c>
      <c r="FK20" s="236">
        <f t="shared" si="38"/>
        <v>0.95549229919586764</v>
      </c>
      <c r="FL20" s="236">
        <f t="shared" si="39"/>
        <v>0.12896947738822398</v>
      </c>
      <c r="FM20" s="236">
        <f t="shared" si="40"/>
        <v>13.497699300848719</v>
      </c>
      <c r="FO20" s="227">
        <f t="shared" si="162"/>
        <v>0.26940155339805832</v>
      </c>
      <c r="FP20" s="227">
        <f t="shared" si="163"/>
        <v>0.28793629530455567</v>
      </c>
      <c r="FQ20" s="227">
        <f t="shared" si="164"/>
        <v>0.30284689624571326</v>
      </c>
      <c r="FR20" s="227">
        <f t="shared" si="165"/>
        <v>0.26940155339805832</v>
      </c>
      <c r="FS20" s="227">
        <f t="shared" si="166"/>
        <v>0.28513671596499884</v>
      </c>
      <c r="FT20" s="227">
        <f t="shared" si="41"/>
        <v>0.28294460286227691</v>
      </c>
      <c r="FU20" s="227">
        <f t="shared" si="42"/>
        <v>1.4077038154334393E-2</v>
      </c>
      <c r="FV20" s="227">
        <f t="shared" si="43"/>
        <v>4.9751923210164151</v>
      </c>
      <c r="FX20" s="230">
        <f t="shared" si="167"/>
        <v>2.8223148096000132</v>
      </c>
      <c r="FY20" s="230">
        <f t="shared" si="168"/>
        <v>1.3306380078366615</v>
      </c>
      <c r="FZ20" s="230">
        <f t="shared" si="169"/>
        <v>2.8223148096000132</v>
      </c>
      <c r="GA20" s="230">
        <f t="shared" si="170"/>
        <v>2.785983263681167</v>
      </c>
      <c r="GB20" s="230">
        <f t="shared" si="44"/>
        <v>2.4403127226794639</v>
      </c>
      <c r="GC20" s="230">
        <f t="shared" si="45"/>
        <v>0.73998137014863963</v>
      </c>
      <c r="GD20" s="230">
        <f t="shared" si="46"/>
        <v>30.323218957615396</v>
      </c>
      <c r="GF20" s="231">
        <f t="shared" si="171"/>
        <v>5.741790476190476E-2</v>
      </c>
      <c r="GG20" s="231">
        <f t="shared" si="172"/>
        <v>4.6937111564332966E-2</v>
      </c>
      <c r="GH20" s="231">
        <f t="shared" si="173"/>
        <v>0.06</v>
      </c>
      <c r="GI20" s="231">
        <f t="shared" si="174"/>
        <v>2.9132415735595357E-2</v>
      </c>
      <c r="GJ20" s="245">
        <f t="shared" si="187"/>
        <v>4.837185801545827E-2</v>
      </c>
      <c r="GK20" s="231">
        <f t="shared" si="188"/>
        <v>1.4014983462598747E-2</v>
      </c>
      <c r="GL20" s="231">
        <f t="shared" si="47"/>
        <v>28.973423882373833</v>
      </c>
      <c r="GN20" s="246">
        <f t="shared" si="175"/>
        <v>0.14369307692307698</v>
      </c>
      <c r="GO20" s="246">
        <f t="shared" si="176"/>
        <v>0.14369307692307698</v>
      </c>
      <c r="GP20" s="246">
        <f t="shared" si="177"/>
        <v>0.13306380078366614</v>
      </c>
      <c r="GQ20" s="247">
        <f t="shared" si="189"/>
        <v>0.14014998487660671</v>
      </c>
      <c r="GR20" s="246">
        <f t="shared" si="190"/>
        <v>6.1368154403797131E-3</v>
      </c>
      <c r="GS20" s="246">
        <f t="shared" si="48"/>
        <v>4.3787485569711588</v>
      </c>
      <c r="GU20" s="249">
        <f t="shared" si="178"/>
        <v>1.7361657816535488E-2</v>
      </c>
      <c r="GV20" s="249">
        <f t="shared" si="179"/>
        <v>1.7361657816535488E-2</v>
      </c>
      <c r="GW20" s="249" t="e">
        <f t="shared" si="180"/>
        <v>#DIV/0!</v>
      </c>
      <c r="GX20" s="249" t="e">
        <f t="shared" si="49"/>
        <v>#DIV/0!</v>
      </c>
      <c r="GZ20" s="240">
        <f t="shared" si="181"/>
        <v>1.9009114397666595E-2</v>
      </c>
      <c r="HA20" s="240">
        <f t="shared" si="182"/>
        <v>1.9009114397666595E-2</v>
      </c>
      <c r="HB20" s="240" t="e">
        <f t="shared" si="183"/>
        <v>#DIV/0!</v>
      </c>
      <c r="HC20" s="240" t="e">
        <f t="shared" si="50"/>
        <v>#DIV/0!</v>
      </c>
      <c r="HE20" s="234">
        <f t="shared" si="184"/>
        <v>7.4972620444077473E-2</v>
      </c>
      <c r="HF20" s="251">
        <f t="shared" si="185"/>
        <v>7.4972620444077473E-2</v>
      </c>
      <c r="HG20" s="234" t="e">
        <f t="shared" si="186"/>
        <v>#DIV/0!</v>
      </c>
      <c r="HH20" s="234" t="e">
        <f t="shared" si="51"/>
        <v>#DIV/0!</v>
      </c>
    </row>
    <row r="21" spans="2:216" ht="15.6" x14ac:dyDescent="0.25">
      <c r="B21">
        <v>17</v>
      </c>
      <c r="C21" s="124">
        <f t="shared" si="52"/>
        <v>66.686322430197947</v>
      </c>
      <c r="D21" s="124">
        <f t="shared" si="53"/>
        <v>172.18831521114689</v>
      </c>
      <c r="E21" s="29">
        <f t="shared" si="54"/>
        <v>1.8155840399317724</v>
      </c>
      <c r="F21" s="29">
        <f t="shared" si="0"/>
        <v>1.7893059891755345</v>
      </c>
      <c r="G21" s="29">
        <f t="shared" si="1"/>
        <v>1.7941365917605034</v>
      </c>
      <c r="H21" s="29">
        <f t="shared" si="2"/>
        <v>1.8155840399317724</v>
      </c>
      <c r="I21" s="29">
        <f t="shared" si="3"/>
        <v>1.7877184689351917</v>
      </c>
      <c r="J21" s="125">
        <f t="shared" si="4"/>
        <v>1.8004658259469548</v>
      </c>
      <c r="K21" s="126">
        <f t="shared" si="5"/>
        <v>1.400193791157589E-2</v>
      </c>
      <c r="L21" s="126">
        <f t="shared" si="55"/>
        <v>0.77768418093753999</v>
      </c>
      <c r="N21" s="138">
        <f t="shared" si="56"/>
        <v>378.09782344886054</v>
      </c>
      <c r="O21" s="138">
        <f t="shared" si="57"/>
        <v>437.91639999999995</v>
      </c>
      <c r="P21" s="138">
        <f t="shared" si="58"/>
        <v>365.82684217881666</v>
      </c>
      <c r="Q21" s="138">
        <f t="shared" si="59"/>
        <v>369.22321075349646</v>
      </c>
      <c r="R21" s="138">
        <f t="shared" si="60"/>
        <v>378.09782344886054</v>
      </c>
      <c r="S21" s="138">
        <f t="shared" si="61"/>
        <v>360.27626923821276</v>
      </c>
      <c r="T21" s="138">
        <f t="shared" si="62"/>
        <v>381.57306151137453</v>
      </c>
      <c r="U21" s="138">
        <f t="shared" si="63"/>
        <v>28.470131539433375</v>
      </c>
      <c r="V21" s="138">
        <f t="shared" si="64"/>
        <v>7.4612530105416504</v>
      </c>
      <c r="X21" s="227">
        <f t="shared" si="65"/>
        <v>0.42168786294999999</v>
      </c>
      <c r="Y21" s="227">
        <f t="shared" si="66"/>
        <v>0.46196025363481835</v>
      </c>
      <c r="Z21" s="227">
        <f t="shared" si="67"/>
        <v>0.42168786294999999</v>
      </c>
      <c r="AA21" s="227">
        <f t="shared" si="68"/>
        <v>0.43511199317827276</v>
      </c>
      <c r="AB21" s="227">
        <f t="shared" si="69"/>
        <v>2.3251275602789657E-2</v>
      </c>
      <c r="AC21" s="227">
        <f t="shared" si="70"/>
        <v>5.3437450512340199</v>
      </c>
      <c r="AE21" s="228">
        <f t="shared" si="71"/>
        <v>3.9396352543654687</v>
      </c>
      <c r="AF21" s="228">
        <f t="shared" si="72"/>
        <v>5.6922463999999717</v>
      </c>
      <c r="AG21" s="228">
        <f t="shared" si="73"/>
        <v>3.9396352543654687</v>
      </c>
      <c r="AH21" s="228">
        <f t="shared" si="74"/>
        <v>5.98020684297824</v>
      </c>
      <c r="AI21" s="228">
        <f t="shared" si="75"/>
        <v>5.6922463999999717</v>
      </c>
      <c r="AJ21" s="228">
        <f t="shared" si="76"/>
        <v>5.0746950954931611</v>
      </c>
      <c r="AK21" s="228">
        <f t="shared" si="77"/>
        <v>4.8920294343427919</v>
      </c>
      <c r="AL21" s="228">
        <f t="shared" si="78"/>
        <v>5.0300992402207259</v>
      </c>
      <c r="AM21" s="228">
        <f t="shared" si="79"/>
        <v>0.83455154122062725</v>
      </c>
      <c r="AN21" s="228">
        <f t="shared" si="80"/>
        <v>16.591154594874482</v>
      </c>
      <c r="AP21" s="229">
        <f t="shared" si="81"/>
        <v>1.3672615287428933</v>
      </c>
      <c r="AQ21" s="229">
        <f t="shared" si="82"/>
        <v>1.3966489512759139</v>
      </c>
      <c r="AR21" s="229">
        <f t="shared" si="83"/>
        <v>1.1307767689952428</v>
      </c>
      <c r="AS21" s="229">
        <f t="shared" si="84"/>
        <v>1.4580313873748849</v>
      </c>
      <c r="AT21" s="229">
        <f t="shared" si="85"/>
        <v>1.3672615287428933</v>
      </c>
      <c r="AU21" s="229">
        <f t="shared" si="86"/>
        <v>0.37169147032745092</v>
      </c>
      <c r="AV21" s="229">
        <f t="shared" si="87"/>
        <v>1.3966489512759139</v>
      </c>
      <c r="AW21" s="229">
        <f t="shared" si="88"/>
        <v>1.4493793168428699</v>
      </c>
      <c r="AX21" s="229">
        <f t="shared" si="89"/>
        <v>1.4779571188769882</v>
      </c>
      <c r="AY21" s="229">
        <f t="shared" si="90"/>
        <v>1.2684063358283391</v>
      </c>
      <c r="AZ21" s="229">
        <f t="shared" si="91"/>
        <v>0.35144289962072367</v>
      </c>
      <c r="BA21" s="229">
        <f t="shared" si="92"/>
        <v>27.707438042022403</v>
      </c>
      <c r="BC21" s="230">
        <f t="shared" si="93"/>
        <v>9.7348637000000036</v>
      </c>
      <c r="BD21" s="230">
        <f t="shared" si="94"/>
        <v>17.918157268995245</v>
      </c>
      <c r="BE21" s="230">
        <f t="shared" si="95"/>
        <v>9.7348637000000036</v>
      </c>
      <c r="BF21" s="230">
        <f t="shared" si="96"/>
        <v>8.968631125846029</v>
      </c>
      <c r="BG21" s="230">
        <f t="shared" si="97"/>
        <v>11.589128948710322</v>
      </c>
      <c r="BH21" s="230">
        <f t="shared" si="98"/>
        <v>4.2347848250631088</v>
      </c>
      <c r="BI21" s="230">
        <f t="shared" si="99"/>
        <v>36.541010491857293</v>
      </c>
      <c r="BK21" s="227">
        <f t="shared" si="6"/>
        <v>17.329132692307692</v>
      </c>
      <c r="BL21" s="227">
        <f t="shared" si="7"/>
        <v>28.657446197895407</v>
      </c>
      <c r="BM21" s="227">
        <f t="shared" si="8"/>
        <v>26.563082244657494</v>
      </c>
      <c r="BN21" s="227">
        <f t="shared" si="9"/>
        <v>21.261532426136903</v>
      </c>
      <c r="BO21" s="227">
        <f t="shared" si="10"/>
        <v>17.329132692307692</v>
      </c>
      <c r="BP21" s="227">
        <f t="shared" si="11"/>
        <v>25.303362271357507</v>
      </c>
      <c r="BQ21" s="227">
        <f t="shared" si="12"/>
        <v>30.969019270031144</v>
      </c>
      <c r="BR21" s="227">
        <f t="shared" si="100"/>
        <v>23.916101113527695</v>
      </c>
      <c r="BS21" s="227">
        <f t="shared" si="101"/>
        <v>5.4002785613390367</v>
      </c>
      <c r="BT21" s="227">
        <f t="shared" si="13"/>
        <v>22.58009587643226</v>
      </c>
      <c r="BV21" s="231">
        <f t="shared" si="102"/>
        <v>0.2454698675238102</v>
      </c>
      <c r="BW21" s="231">
        <f t="shared" si="103"/>
        <v>0.28171341482812307</v>
      </c>
      <c r="BX21" s="231">
        <f t="shared" si="104"/>
        <v>0.28538797624257434</v>
      </c>
      <c r="BY21" s="231">
        <f t="shared" si="105"/>
        <v>0.2454698675238102</v>
      </c>
      <c r="BZ21" s="231">
        <f t="shared" si="106"/>
        <v>0.285769392678485</v>
      </c>
      <c r="CA21" s="231">
        <f t="shared" si="107"/>
        <v>0.28414297506911534</v>
      </c>
      <c r="CB21" s="231">
        <f t="shared" si="108"/>
        <v>0.45736920899458494</v>
      </c>
      <c r="CC21" s="231">
        <f t="shared" si="109"/>
        <v>0.44578114302416277</v>
      </c>
      <c r="CD21" s="231">
        <f t="shared" si="110"/>
        <v>0.31638798073558327</v>
      </c>
      <c r="CE21" s="231">
        <f t="shared" si="111"/>
        <v>8.5203637460891421E-2</v>
      </c>
      <c r="CF21" s="231">
        <f t="shared" si="14"/>
        <v>26.93011196657914</v>
      </c>
      <c r="CH21" s="232">
        <f t="shared" si="112"/>
        <v>1.3266603248193958</v>
      </c>
      <c r="CI21" s="232">
        <f t="shared" si="113"/>
        <v>1.4363280952380935</v>
      </c>
      <c r="CJ21" s="232">
        <f t="shared" si="114"/>
        <v>2.0240851804726949</v>
      </c>
      <c r="CK21" s="232">
        <f t="shared" si="115"/>
        <v>1.6737016692826008</v>
      </c>
      <c r="CL21" s="232">
        <f t="shared" si="116"/>
        <v>1.6740480738128505</v>
      </c>
      <c r="CM21" s="232">
        <f t="shared" si="117"/>
        <v>1.3266603248193958</v>
      </c>
      <c r="CN21" s="232">
        <f t="shared" si="118"/>
        <v>1.3266603248193958</v>
      </c>
      <c r="CO21" s="232">
        <f t="shared" si="119"/>
        <v>1.5744963262405833</v>
      </c>
      <c r="CP21" s="232">
        <f t="shared" si="120"/>
        <v>1.4363280952380935</v>
      </c>
      <c r="CQ21" s="232">
        <f t="shared" si="121"/>
        <v>1.3592025334113029</v>
      </c>
      <c r="CR21" s="232">
        <f t="shared" si="122"/>
        <v>1.5158170948154406</v>
      </c>
      <c r="CS21" s="232">
        <f t="shared" si="123"/>
        <v>0.22515433090436524</v>
      </c>
      <c r="CT21" s="232">
        <f t="shared" si="15"/>
        <v>14.853660885238867</v>
      </c>
      <c r="CV21" s="229">
        <f t="shared" si="16"/>
        <v>0.77240580952380977</v>
      </c>
      <c r="CW21" s="229">
        <f t="shared" si="17"/>
        <v>0.95055040310737915</v>
      </c>
      <c r="CX21" s="229">
        <f t="shared" si="18"/>
        <v>0.56640946665149183</v>
      </c>
      <c r="CY21" s="229">
        <f t="shared" si="19"/>
        <v>0.51259302704109422</v>
      </c>
      <c r="CZ21" s="229">
        <f t="shared" si="20"/>
        <v>1.0380241124351552</v>
      </c>
      <c r="DA21" s="229">
        <f t="shared" si="21"/>
        <v>0.77240580952380977</v>
      </c>
      <c r="DB21" s="229">
        <f t="shared" si="22"/>
        <v>0.453466992525346</v>
      </c>
      <c r="DC21" s="229">
        <f t="shared" si="23"/>
        <v>0.8802283629122899</v>
      </c>
      <c r="DD21" s="229">
        <f t="shared" si="24"/>
        <v>0.74326049796504701</v>
      </c>
      <c r="DE21" s="229">
        <f t="shared" si="25"/>
        <v>0.21340030553046524</v>
      </c>
      <c r="DF21" s="229">
        <f t="shared" si="26"/>
        <v>28.711374560430457</v>
      </c>
      <c r="DH21" s="234">
        <f t="shared" si="124"/>
        <v>2.5159999999999998E-2</v>
      </c>
      <c r="DI21" s="234">
        <f t="shared" si="125"/>
        <v>3.4000000000000002E-2</v>
      </c>
      <c r="DJ21" s="234">
        <f t="shared" si="126"/>
        <v>0.10150721537089785</v>
      </c>
      <c r="DK21" s="234">
        <f t="shared" si="27"/>
        <v>5.355573845696595E-2</v>
      </c>
      <c r="DL21" s="234">
        <f t="shared" si="28"/>
        <v>4.1761758867060531E-2</v>
      </c>
      <c r="DM21" s="234">
        <f t="shared" si="29"/>
        <v>77.978121617383124</v>
      </c>
      <c r="DO21" s="229">
        <f t="shared" si="127"/>
        <v>2.3184623999999987</v>
      </c>
      <c r="DP21" s="229">
        <f t="shared" si="128"/>
        <v>3.3021019595908325</v>
      </c>
      <c r="DQ21" s="229">
        <f t="shared" si="129"/>
        <v>2.8157334875245139</v>
      </c>
      <c r="DR21" s="229">
        <f t="shared" si="130"/>
        <v>2.700698738920432</v>
      </c>
      <c r="DS21" s="229">
        <f t="shared" si="131"/>
        <v>2.3353218242958489</v>
      </c>
      <c r="DT21" s="229">
        <f t="shared" si="132"/>
        <v>2.3184623999999987</v>
      </c>
      <c r="DU21" s="229">
        <f t="shared" si="133"/>
        <v>-3.0850409999999565E-2</v>
      </c>
      <c r="DV21" s="229">
        <f t="shared" si="134"/>
        <v>2.4918193108053455</v>
      </c>
      <c r="DW21" s="229">
        <f t="shared" si="30"/>
        <v>2.2814687138921208</v>
      </c>
      <c r="DX21" s="229">
        <f t="shared" si="31"/>
        <v>0.99280189448982081</v>
      </c>
      <c r="DY21" s="229">
        <f t="shared" si="32"/>
        <v>43.515910976317052</v>
      </c>
      <c r="EA21" s="235">
        <f t="shared" si="135"/>
        <v>0.14251935483870956</v>
      </c>
      <c r="EB21" s="235">
        <f t="shared" si="136"/>
        <v>0.18329117059431532</v>
      </c>
      <c r="EC21" s="235">
        <f t="shared" si="137"/>
        <v>0.14251935483870956</v>
      </c>
      <c r="ED21" s="235">
        <f t="shared" si="138"/>
        <v>0.14004127710341568</v>
      </c>
      <c r="EE21" s="235">
        <f t="shared" si="139"/>
        <v>0.12709183688043313</v>
      </c>
      <c r="EF21" s="235">
        <f t="shared" si="140"/>
        <v>0.14709259885111667</v>
      </c>
      <c r="EG21" s="235">
        <f t="shared" si="141"/>
        <v>2.1224498437177757E-2</v>
      </c>
      <c r="EH21" s="235">
        <f t="shared" si="33"/>
        <v>14.429344918068004</v>
      </c>
      <c r="EJ21" s="229">
        <f t="shared" si="142"/>
        <v>9.1297959606987185</v>
      </c>
      <c r="EK21" s="229">
        <f t="shared" si="143"/>
        <v>15.969904201214822</v>
      </c>
      <c r="EL21" s="229">
        <f t="shared" si="144"/>
        <v>8.360003100000041</v>
      </c>
      <c r="EM21" s="229">
        <f t="shared" si="145"/>
        <v>12.995003842613201</v>
      </c>
      <c r="EN21" s="229">
        <f t="shared" si="146"/>
        <v>13.549093034645509</v>
      </c>
      <c r="EO21" s="229">
        <f t="shared" si="34"/>
        <v>14.656345934385081</v>
      </c>
      <c r="EP21" s="229">
        <f t="shared" si="147"/>
        <v>12.607158737720901</v>
      </c>
      <c r="EQ21" s="229">
        <f t="shared" si="148"/>
        <v>12.466757830182612</v>
      </c>
      <c r="ER21" s="229">
        <f t="shared" si="149"/>
        <v>2.7849980626717845</v>
      </c>
      <c r="ES21" s="229">
        <f t="shared" si="35"/>
        <v>22.339393293813504</v>
      </c>
      <c r="EU21" s="238">
        <f t="shared" si="191"/>
        <v>1.3337264486039713E-2</v>
      </c>
      <c r="EV21" s="238">
        <f t="shared" si="151"/>
        <v>1.3337264486039713E-2</v>
      </c>
      <c r="EW21" s="238" t="e">
        <f t="shared" si="152"/>
        <v>#DIV/0!</v>
      </c>
      <c r="EX21" s="238" t="e">
        <f t="shared" si="36"/>
        <v>#DIV/0!</v>
      </c>
      <c r="EZ21" s="240">
        <f t="shared" si="153"/>
        <v>2.241232205204674E-2</v>
      </c>
      <c r="FA21" s="240">
        <f t="shared" si="154"/>
        <v>2.241232205204674E-2</v>
      </c>
      <c r="FB21" s="240" t="e">
        <f t="shared" si="155"/>
        <v>#DIV/0!</v>
      </c>
      <c r="FC21" s="240" t="e">
        <f t="shared" si="37"/>
        <v>#DIV/0!</v>
      </c>
      <c r="FE21" s="236">
        <f t="shared" si="156"/>
        <v>0.83370994519230679</v>
      </c>
      <c r="FF21" s="236">
        <f t="shared" si="157"/>
        <v>1.1446526237482459</v>
      </c>
      <c r="FG21" s="236">
        <f t="shared" si="158"/>
        <v>1.1269314900571283</v>
      </c>
      <c r="FH21" s="236">
        <f t="shared" si="159"/>
        <v>1.1003243200982662</v>
      </c>
      <c r="FI21" s="236">
        <f t="shared" si="160"/>
        <v>0.9</v>
      </c>
      <c r="FJ21" s="236">
        <f t="shared" si="161"/>
        <v>0.93360851402277123</v>
      </c>
      <c r="FK21" s="236">
        <f t="shared" si="38"/>
        <v>1.0065378155197864</v>
      </c>
      <c r="FL21" s="236">
        <f t="shared" si="39"/>
        <v>0.13334519674599341</v>
      </c>
      <c r="FM21" s="236">
        <f t="shared" si="40"/>
        <v>13.247907300644496</v>
      </c>
      <c r="FO21" s="227">
        <f t="shared" si="162"/>
        <v>0.28785281553398079</v>
      </c>
      <c r="FP21" s="227">
        <f t="shared" si="163"/>
        <v>0.30311912854765705</v>
      </c>
      <c r="FQ21" s="227">
        <f t="shared" si="164"/>
        <v>0.31612809641906742</v>
      </c>
      <c r="FR21" s="227">
        <f t="shared" si="165"/>
        <v>0.28785281553398079</v>
      </c>
      <c r="FS21" s="227">
        <f t="shared" si="166"/>
        <v>0.30008845093589076</v>
      </c>
      <c r="FT21" s="227">
        <f t="shared" si="41"/>
        <v>0.29900826139411535</v>
      </c>
      <c r="FU21" s="227">
        <f t="shared" si="42"/>
        <v>1.1832611019536128E-2</v>
      </c>
      <c r="FV21" s="227">
        <f t="shared" si="43"/>
        <v>3.9572856496897448</v>
      </c>
      <c r="FX21" s="230">
        <f t="shared" si="167"/>
        <v>2.9159993664000408</v>
      </c>
      <c r="FY21" s="230">
        <f t="shared" si="168"/>
        <v>1.400412771034157</v>
      </c>
      <c r="FZ21" s="230">
        <f t="shared" si="169"/>
        <v>2.9159993664000408</v>
      </c>
      <c r="GA21" s="230">
        <f t="shared" si="170"/>
        <v>2.9746921400250081</v>
      </c>
      <c r="GB21" s="230">
        <f t="shared" si="44"/>
        <v>2.5517759109648117</v>
      </c>
      <c r="GC21" s="230">
        <f t="shared" si="45"/>
        <v>0.76807392607999814</v>
      </c>
      <c r="GD21" s="230">
        <f t="shared" si="46"/>
        <v>30.099583696971017</v>
      </c>
      <c r="GF21" s="231">
        <f t="shared" si="171"/>
        <v>7.2585238095238078E-2</v>
      </c>
      <c r="GG21" s="231">
        <f t="shared" si="172"/>
        <v>4.9869059794779992E-2</v>
      </c>
      <c r="GH21" s="231">
        <f t="shared" si="173"/>
        <v>0.06</v>
      </c>
      <c r="GI21" s="231">
        <f t="shared" si="174"/>
        <v>3.5486699021903052E-2</v>
      </c>
      <c r="GJ21" s="245">
        <f t="shared" si="187"/>
        <v>5.448524922798028E-2</v>
      </c>
      <c r="GK21" s="231">
        <f t="shared" si="188"/>
        <v>1.5708555926504688E-2</v>
      </c>
      <c r="GL21" s="231">
        <f t="shared" si="47"/>
        <v>28.830841648123979</v>
      </c>
      <c r="GN21" s="246">
        <f t="shared" si="175"/>
        <v>0.15998519230769265</v>
      </c>
      <c r="GO21" s="246">
        <f t="shared" si="176"/>
        <v>0.15998519230769265</v>
      </c>
      <c r="GP21" s="246">
        <f t="shared" si="177"/>
        <v>0.14004127710341568</v>
      </c>
      <c r="GQ21" s="247">
        <f t="shared" si="189"/>
        <v>0.15333722057293367</v>
      </c>
      <c r="GR21" s="246">
        <f t="shared" si="190"/>
        <v>1.1514624811884375E-2</v>
      </c>
      <c r="GS21" s="246">
        <f t="shared" si="48"/>
        <v>7.50934754709965</v>
      </c>
      <c r="GU21" s="249">
        <f t="shared" si="178"/>
        <v>1.8272052345874236E-2</v>
      </c>
      <c r="GV21" s="249">
        <f t="shared" si="179"/>
        <v>1.8272052345874236E-2</v>
      </c>
      <c r="GW21" s="249" t="e">
        <f t="shared" si="180"/>
        <v>#DIV/0!</v>
      </c>
      <c r="GX21" s="249" t="e">
        <f t="shared" si="49"/>
        <v>#DIV/0!</v>
      </c>
      <c r="GZ21" s="240">
        <f t="shared" si="181"/>
        <v>2.0005896729059384E-2</v>
      </c>
      <c r="HA21" s="240">
        <f t="shared" si="182"/>
        <v>2.0005896729059384E-2</v>
      </c>
      <c r="HB21" s="240" t="e">
        <f t="shared" si="183"/>
        <v>#DIV/0!</v>
      </c>
      <c r="HC21" s="240" t="e">
        <f t="shared" si="50"/>
        <v>#DIV/0!</v>
      </c>
      <c r="HE21" s="234">
        <f t="shared" si="184"/>
        <v>7.8926523691935549E-2</v>
      </c>
      <c r="HF21" s="251">
        <f t="shared" si="185"/>
        <v>7.8926523691935549E-2</v>
      </c>
      <c r="HG21" s="234" t="e">
        <f t="shared" si="186"/>
        <v>#DIV/0!</v>
      </c>
      <c r="HH21" s="234" t="e">
        <f t="shared" si="51"/>
        <v>#DIV/0!</v>
      </c>
    </row>
    <row r="22" spans="2:216" ht="15.6" x14ac:dyDescent="0.25">
      <c r="B22">
        <v>18</v>
      </c>
      <c r="C22" s="124">
        <f t="shared" si="52"/>
        <v>69.511017855687598</v>
      </c>
      <c r="D22" s="124">
        <f t="shared" si="53"/>
        <v>174.50677190359821</v>
      </c>
      <c r="E22" s="29">
        <f t="shared" si="54"/>
        <v>1.8656267038207524</v>
      </c>
      <c r="F22" s="29">
        <f t="shared" si="0"/>
        <v>1.8388784807539147</v>
      </c>
      <c r="G22" s="29">
        <f t="shared" si="1"/>
        <v>1.843255038374878</v>
      </c>
      <c r="H22" s="29">
        <f t="shared" si="2"/>
        <v>1.8656267038207524</v>
      </c>
      <c r="I22" s="29">
        <f t="shared" si="3"/>
        <v>1.8356154990848148</v>
      </c>
      <c r="J22" s="125">
        <f t="shared" si="4"/>
        <v>1.8498004851710224</v>
      </c>
      <c r="K22" s="126">
        <f t="shared" si="5"/>
        <v>1.4699364595217205E-2</v>
      </c>
      <c r="L22" s="126">
        <f t="shared" si="55"/>
        <v>0.79464594766057617</v>
      </c>
      <c r="N22" s="138">
        <f t="shared" si="56"/>
        <v>388.45810188591474</v>
      </c>
      <c r="O22" s="138">
        <f t="shared" si="57"/>
        <v>325.79239999999999</v>
      </c>
      <c r="P22" s="138">
        <f t="shared" si="58"/>
        <v>374.8188090152903</v>
      </c>
      <c r="Q22" s="138">
        <f t="shared" si="59"/>
        <v>381.06410241106471</v>
      </c>
      <c r="R22" s="138">
        <f t="shared" si="60"/>
        <v>388.45810188591474</v>
      </c>
      <c r="S22" s="138">
        <f t="shared" si="61"/>
        <v>365.01550378538519</v>
      </c>
      <c r="T22" s="138">
        <f t="shared" si="62"/>
        <v>370.60116983059493</v>
      </c>
      <c r="U22" s="138">
        <f t="shared" si="63"/>
        <v>23.681330208551188</v>
      </c>
      <c r="V22" s="138">
        <f t="shared" si="64"/>
        <v>6.3899771874374096</v>
      </c>
      <c r="X22" s="227">
        <f t="shared" si="65"/>
        <v>0.42484460280000003</v>
      </c>
      <c r="Y22" s="227">
        <f t="shared" si="66"/>
        <v>0.47</v>
      </c>
      <c r="Z22" s="227">
        <f t="shared" si="67"/>
        <v>0.42484460280000003</v>
      </c>
      <c r="AA22" s="227">
        <f t="shared" si="68"/>
        <v>0.43989640186666668</v>
      </c>
      <c r="AB22" s="227">
        <f t="shared" si="69"/>
        <v>2.6070480728784443E-2</v>
      </c>
      <c r="AC22" s="227">
        <f t="shared" si="70"/>
        <v>5.9265046538585802</v>
      </c>
      <c r="AE22" s="228">
        <f t="shared" si="71"/>
        <v>4.0704300039178483</v>
      </c>
      <c r="AF22" s="228">
        <f t="shared" si="72"/>
        <v>5.2850000000000001</v>
      </c>
      <c r="AG22" s="228">
        <f t="shared" si="73"/>
        <v>4.0704300039178483</v>
      </c>
      <c r="AH22" s="228">
        <f t="shared" si="74"/>
        <v>6.2334473977477955</v>
      </c>
      <c r="AI22" s="228">
        <f t="shared" si="75"/>
        <v>5.2850000000000001</v>
      </c>
      <c r="AJ22" s="228">
        <f t="shared" si="76"/>
        <v>5.2897111634181</v>
      </c>
      <c r="AK22" s="228">
        <f t="shared" si="77"/>
        <v>5.047014731716513</v>
      </c>
      <c r="AL22" s="228">
        <f t="shared" si="78"/>
        <v>5.0401476143883013</v>
      </c>
      <c r="AM22" s="228">
        <f t="shared" si="79"/>
        <v>0.76233231651984223</v>
      </c>
      <c r="AN22" s="228">
        <f t="shared" si="80"/>
        <v>15.125198205377618</v>
      </c>
      <c r="AP22" s="229">
        <f t="shared" si="81"/>
        <v>1.3712938005390836</v>
      </c>
      <c r="AQ22" s="229">
        <f t="shared" si="82"/>
        <v>1.4</v>
      </c>
      <c r="AR22" s="229">
        <f t="shared" si="83"/>
        <v>1.47</v>
      </c>
      <c r="AS22" s="229">
        <f t="shared" si="84"/>
        <v>1.4671923419809167</v>
      </c>
      <c r="AT22" s="229">
        <f t="shared" si="85"/>
        <v>1.3712938005390836</v>
      </c>
      <c r="AU22" s="229">
        <f t="shared" si="86"/>
        <v>0.37807369226550752</v>
      </c>
      <c r="AV22" s="229">
        <f t="shared" si="87"/>
        <v>1.4</v>
      </c>
      <c r="AW22" s="229">
        <f t="shared" si="88"/>
        <v>1.4496002574408553</v>
      </c>
      <c r="AX22" s="229">
        <f t="shared" si="89"/>
        <v>1.4756092960082177</v>
      </c>
      <c r="AY22" s="229">
        <f t="shared" si="90"/>
        <v>1.3092292431970738</v>
      </c>
      <c r="AZ22" s="229">
        <f t="shared" si="91"/>
        <v>0.35167798829355029</v>
      </c>
      <c r="BA22" s="229">
        <f t="shared" si="92"/>
        <v>26.861452272084136</v>
      </c>
      <c r="BC22" s="230">
        <f t="shared" si="93"/>
        <v>9.65</v>
      </c>
      <c r="BD22" s="230">
        <f t="shared" si="94"/>
        <v>11.73</v>
      </c>
      <c r="BE22" s="230">
        <f t="shared" si="95"/>
        <v>9.65</v>
      </c>
      <c r="BF22" s="230">
        <f t="shared" si="96"/>
        <v>9.112979205815968</v>
      </c>
      <c r="BG22" s="230">
        <f t="shared" si="97"/>
        <v>10.035744801453992</v>
      </c>
      <c r="BH22" s="230">
        <f t="shared" si="98"/>
        <v>1.1575253958324099</v>
      </c>
      <c r="BI22" s="230">
        <f t="shared" si="99"/>
        <v>11.53402581206236</v>
      </c>
      <c r="BK22" s="227">
        <f t="shared" si="6"/>
        <v>19.600000000000001</v>
      </c>
      <c r="BL22" s="227">
        <f t="shared" si="7"/>
        <v>31.73</v>
      </c>
      <c r="BM22" s="227">
        <f t="shared" si="8"/>
        <v>37.917079130481582</v>
      </c>
      <c r="BN22" s="227">
        <f t="shared" si="9"/>
        <v>21.670300220636332</v>
      </c>
      <c r="BO22" s="227">
        <f t="shared" si="10"/>
        <v>19.600000000000001</v>
      </c>
      <c r="BP22" s="227">
        <f t="shared" si="11"/>
        <v>26.538439939259337</v>
      </c>
      <c r="BQ22" s="227">
        <f t="shared" si="12"/>
        <v>31.599329281374622</v>
      </c>
      <c r="BR22" s="227">
        <f t="shared" si="100"/>
        <v>26.950735510250269</v>
      </c>
      <c r="BS22" s="227">
        <f t="shared" si="101"/>
        <v>7.0808555871668748</v>
      </c>
      <c r="BT22" s="227">
        <f t="shared" si="13"/>
        <v>26.273329662835316</v>
      </c>
      <c r="BV22" s="231">
        <f t="shared" si="102"/>
        <v>0.26</v>
      </c>
      <c r="BW22" s="231">
        <f t="shared" si="103"/>
        <v>0.29110647351276231</v>
      </c>
      <c r="BX22" s="231">
        <f t="shared" si="104"/>
        <v>0.2932458654515358</v>
      </c>
      <c r="BY22" s="231">
        <f t="shared" si="105"/>
        <v>0.26</v>
      </c>
      <c r="BZ22" s="231">
        <f t="shared" si="106"/>
        <v>0.29671290646202014</v>
      </c>
      <c r="CA22" s="231">
        <f t="shared" si="107"/>
        <v>0.29344516630493778</v>
      </c>
      <c r="CB22" s="231">
        <f t="shared" si="108"/>
        <v>0.48</v>
      </c>
      <c r="CC22" s="231">
        <f t="shared" si="109"/>
        <v>0.45505422565645359</v>
      </c>
      <c r="CD22" s="231">
        <f t="shared" si="110"/>
        <v>0.32869557967346369</v>
      </c>
      <c r="CE22" s="231">
        <f t="shared" si="111"/>
        <v>8.7204854490634393E-2</v>
      </c>
      <c r="CF22" s="231">
        <f t="shared" si="14"/>
        <v>26.530583276254088</v>
      </c>
      <c r="CH22" s="232">
        <f t="shared" si="112"/>
        <v>1.370291323168223</v>
      </c>
      <c r="CI22" s="232">
        <f t="shared" si="113"/>
        <v>1.52</v>
      </c>
      <c r="CJ22" s="232">
        <f t="shared" si="114"/>
        <v>2.1</v>
      </c>
      <c r="CK22" s="232">
        <f t="shared" si="115"/>
        <v>1.7391755790135077</v>
      </c>
      <c r="CL22" s="232">
        <f t="shared" si="116"/>
        <v>1.7443141725454236</v>
      </c>
      <c r="CM22" s="232">
        <f t="shared" si="117"/>
        <v>1.370291323168223</v>
      </c>
      <c r="CN22" s="232">
        <f t="shared" si="118"/>
        <v>1.370291323168223</v>
      </c>
      <c r="CO22" s="232">
        <f t="shared" si="119"/>
        <v>1.6388534277363704</v>
      </c>
      <c r="CP22" s="232">
        <f t="shared" si="120"/>
        <v>1.52</v>
      </c>
      <c r="CQ22" s="232">
        <f t="shared" si="121"/>
        <v>1.3958834533595024</v>
      </c>
      <c r="CR22" s="232">
        <f t="shared" si="122"/>
        <v>1.5769100602159472</v>
      </c>
      <c r="CS22" s="232">
        <f t="shared" si="123"/>
        <v>0.23549860841618397</v>
      </c>
      <c r="CT22" s="232">
        <f t="shared" si="15"/>
        <v>14.934181368843195</v>
      </c>
      <c r="CV22" s="229">
        <f t="shared" si="16"/>
        <v>0.83</v>
      </c>
      <c r="CW22" s="229">
        <f t="shared" si="17"/>
        <v>1.19</v>
      </c>
      <c r="CX22" s="229">
        <f t="shared" si="18"/>
        <v>0.59748646764284985</v>
      </c>
      <c r="CY22" s="229">
        <f t="shared" si="19"/>
        <v>0.52216880947526734</v>
      </c>
      <c r="CZ22" s="229">
        <f t="shared" si="20"/>
        <v>1.0730588691641052</v>
      </c>
      <c r="DA22" s="229">
        <f t="shared" si="21"/>
        <v>0.83</v>
      </c>
      <c r="DB22" s="229">
        <f t="shared" si="22"/>
        <v>0.47267492141867562</v>
      </c>
      <c r="DC22" s="229">
        <f t="shared" si="23"/>
        <v>0.89</v>
      </c>
      <c r="DD22" s="229">
        <f t="shared" si="24"/>
        <v>0.80067363346261222</v>
      </c>
      <c r="DE22" s="229">
        <f t="shared" si="25"/>
        <v>0.25687715909618181</v>
      </c>
      <c r="DF22" s="229">
        <f t="shared" si="26"/>
        <v>32.082629970626705</v>
      </c>
      <c r="DH22" s="234">
        <f t="shared" si="124"/>
        <v>2.664E-2</v>
      </c>
      <c r="DI22" s="234">
        <f t="shared" si="125"/>
        <v>3.6000000000000004E-2</v>
      </c>
      <c r="DJ22" s="234">
        <f t="shared" si="126"/>
        <v>0.1050563815303176</v>
      </c>
      <c r="DK22" s="234">
        <f t="shared" si="27"/>
        <v>5.5898793843439203E-2</v>
      </c>
      <c r="DL22" s="234">
        <f t="shared" si="28"/>
        <v>4.2828188385628164E-2</v>
      </c>
      <c r="DM22" s="234">
        <f t="shared" si="29"/>
        <v>76.617374796280828</v>
      </c>
      <c r="DO22" s="229">
        <f t="shared" si="127"/>
        <v>2.38</v>
      </c>
      <c r="DP22" s="229">
        <f t="shared" si="128"/>
        <v>3.4956817471985762</v>
      </c>
      <c r="DQ22" s="229">
        <f t="shared" si="129"/>
        <v>3.1095325591421137</v>
      </c>
      <c r="DR22" s="229">
        <f t="shared" si="130"/>
        <v>2.774700727756533</v>
      </c>
      <c r="DS22" s="229">
        <f t="shared" si="131"/>
        <v>2.4014807550213289</v>
      </c>
      <c r="DT22" s="229">
        <f t="shared" si="132"/>
        <v>2.38</v>
      </c>
      <c r="DU22" s="229">
        <f t="shared" si="133"/>
        <v>3.1082400000008691E-3</v>
      </c>
      <c r="DV22" s="229">
        <f t="shared" si="134"/>
        <v>2.7018100349575036</v>
      </c>
      <c r="DW22" s="229">
        <f t="shared" si="30"/>
        <v>2.405789258009507</v>
      </c>
      <c r="DX22" s="229">
        <f t="shared" si="31"/>
        <v>1.0475187726878441</v>
      </c>
      <c r="DY22" s="229">
        <f t="shared" si="32"/>
        <v>43.541584916483345</v>
      </c>
      <c r="EA22" s="235">
        <f t="shared" si="135"/>
        <v>0.14000000000000001</v>
      </c>
      <c r="EB22" s="235">
        <f t="shared" si="136"/>
        <v>0.18996135217917651</v>
      </c>
      <c r="EC22" s="235">
        <f t="shared" si="137"/>
        <v>0.14000000000000001</v>
      </c>
      <c r="ED22" s="235">
        <f t="shared" si="138"/>
        <v>0.14597313749694393</v>
      </c>
      <c r="EE22" s="235">
        <f t="shared" si="139"/>
        <v>0.13113852609493282</v>
      </c>
      <c r="EF22" s="235">
        <f t="shared" si="140"/>
        <v>0.14941460315421068</v>
      </c>
      <c r="EG22" s="235">
        <f t="shared" si="141"/>
        <v>2.3276420687806117E-2</v>
      </c>
      <c r="EH22" s="235">
        <f t="shared" si="33"/>
        <v>15.578410808870229</v>
      </c>
      <c r="EJ22" s="229">
        <f t="shared" si="142"/>
        <v>7.5426305676856105</v>
      </c>
      <c r="EK22" s="229">
        <f t="shared" si="143"/>
        <v>16.327359431231343</v>
      </c>
      <c r="EL22" s="229">
        <f t="shared" si="144"/>
        <v>6.91</v>
      </c>
      <c r="EM22" s="229">
        <f t="shared" si="145"/>
        <v>13.495504663557032</v>
      </c>
      <c r="EN22" s="229">
        <f t="shared" si="146"/>
        <v>14.145829394374847</v>
      </c>
      <c r="EO22" s="229">
        <f t="shared" si="34"/>
        <v>15.070022155824233</v>
      </c>
      <c r="EP22" s="229">
        <f t="shared" si="147"/>
        <v>14.087996380272644</v>
      </c>
      <c r="EQ22" s="229">
        <f t="shared" si="148"/>
        <v>12.511334656135102</v>
      </c>
      <c r="ER22" s="229">
        <f t="shared" si="149"/>
        <v>3.7259880769851144</v>
      </c>
      <c r="ES22" s="229">
        <f t="shared" si="35"/>
        <v>29.780900114905211</v>
      </c>
      <c r="EU22" s="238">
        <f t="shared" si="191"/>
        <v>1.3902203571137537E-2</v>
      </c>
      <c r="EV22" s="238">
        <f t="shared" si="151"/>
        <v>1.3902203571137537E-2</v>
      </c>
      <c r="EW22" s="238" t="e">
        <f t="shared" si="152"/>
        <v>#DIV/0!</v>
      </c>
      <c r="EX22" s="238" t="e">
        <f t="shared" si="36"/>
        <v>#DIV/0!</v>
      </c>
      <c r="EZ22" s="240">
        <f t="shared" si="153"/>
        <v>2.3672077604956886E-2</v>
      </c>
      <c r="FA22" s="240">
        <f t="shared" si="154"/>
        <v>2.3672077604956886E-2</v>
      </c>
      <c r="FB22" s="240" t="e">
        <f t="shared" si="155"/>
        <v>#DIV/0!</v>
      </c>
      <c r="FC22" s="240" t="e">
        <f t="shared" si="37"/>
        <v>#DIV/0!</v>
      </c>
      <c r="FE22" s="236">
        <f t="shared" si="156"/>
        <v>0.9</v>
      </c>
      <c r="FF22" s="236">
        <f t="shared" si="157"/>
        <v>1.2</v>
      </c>
      <c r="FG22" s="236">
        <f t="shared" si="158"/>
        <v>1.1796028828810292</v>
      </c>
      <c r="FH22" s="236">
        <f t="shared" si="159"/>
        <v>1.1469317946188453</v>
      </c>
      <c r="FI22" s="236">
        <f t="shared" si="160"/>
        <v>0.9</v>
      </c>
      <c r="FJ22" s="236">
        <f t="shared" si="161"/>
        <v>0.97315424997962641</v>
      </c>
      <c r="FK22" s="236">
        <f t="shared" si="38"/>
        <v>1.049948154579917</v>
      </c>
      <c r="FL22" s="236">
        <f t="shared" si="39"/>
        <v>0.14113676574699513</v>
      </c>
      <c r="FM22" s="236">
        <f t="shared" si="40"/>
        <v>13.442260470800463</v>
      </c>
      <c r="FO22" s="227">
        <f t="shared" si="162"/>
        <v>0.3</v>
      </c>
      <c r="FP22" s="227">
        <f t="shared" si="163"/>
        <v>0.32</v>
      </c>
      <c r="FQ22" s="227">
        <f t="shared" si="164"/>
        <v>0.32748567178112409</v>
      </c>
      <c r="FR22" s="227">
        <f t="shared" si="165"/>
        <v>0.3</v>
      </c>
      <c r="FS22" s="227">
        <f t="shared" si="166"/>
        <v>0.31279958035059419</v>
      </c>
      <c r="FT22" s="227">
        <f t="shared" si="41"/>
        <v>0.31205705042634363</v>
      </c>
      <c r="FU22" s="227">
        <f t="shared" si="42"/>
        <v>1.2169933088292124E-2</v>
      </c>
      <c r="FV22" s="227">
        <f t="shared" si="43"/>
        <v>3.8999064663545089</v>
      </c>
      <c r="FX22" s="230">
        <f t="shared" si="167"/>
        <v>2.94</v>
      </c>
      <c r="FY22" s="230">
        <f t="shared" si="168"/>
        <v>1.4597313749694396</v>
      </c>
      <c r="FZ22" s="230">
        <f t="shared" si="169"/>
        <v>2.94</v>
      </c>
      <c r="GA22" s="230">
        <f t="shared" si="170"/>
        <v>3.1404122218923711</v>
      </c>
      <c r="GB22" s="230">
        <f t="shared" si="44"/>
        <v>2.6200358992154524</v>
      </c>
      <c r="GC22" s="230">
        <f t="shared" si="45"/>
        <v>0.77928432076494636</v>
      </c>
      <c r="GD22" s="230">
        <f t="shared" si="46"/>
        <v>29.743268823083547</v>
      </c>
      <c r="GF22" s="231">
        <f t="shared" si="171"/>
        <v>0.06</v>
      </c>
      <c r="GG22" s="231">
        <f t="shared" si="172"/>
        <v>0.05</v>
      </c>
      <c r="GH22" s="231">
        <f t="shared" si="173"/>
        <v>0.06</v>
      </c>
      <c r="GI22" s="231">
        <f t="shared" si="174"/>
        <v>4.2243655617806339E-2</v>
      </c>
      <c r="GJ22" s="245">
        <f t="shared" si="187"/>
        <v>5.3060913904451584E-2</v>
      </c>
      <c r="GK22" s="231">
        <f t="shared" si="188"/>
        <v>8.6155692876970866E-3</v>
      </c>
      <c r="GL22" s="231">
        <f t="shared" si="47"/>
        <v>16.237129468239857</v>
      </c>
      <c r="GN22" s="246">
        <f t="shared" si="175"/>
        <v>0.18</v>
      </c>
      <c r="GO22" s="246">
        <f t="shared" si="176"/>
        <v>0.18</v>
      </c>
      <c r="GP22" s="246">
        <f t="shared" si="177"/>
        <v>0.14597313749694393</v>
      </c>
      <c r="GQ22" s="247">
        <f t="shared" si="189"/>
        <v>0.16865771249898132</v>
      </c>
      <c r="GR22" s="246">
        <f t="shared" si="190"/>
        <v>1.96454182258178E-2</v>
      </c>
      <c r="GS22" s="246">
        <f t="shared" si="48"/>
        <v>11.648099535285976</v>
      </c>
      <c r="GU22" s="249">
        <f t="shared" si="178"/>
        <v>1.90460188924584E-2</v>
      </c>
      <c r="GV22" s="249">
        <f t="shared" si="179"/>
        <v>1.90460188924584E-2</v>
      </c>
      <c r="GW22" s="249" t="e">
        <f t="shared" si="180"/>
        <v>#DIV/0!</v>
      </c>
      <c r="GX22" s="249" t="e">
        <f t="shared" si="49"/>
        <v>#DIV/0!</v>
      </c>
      <c r="GZ22" s="240">
        <f t="shared" si="181"/>
        <v>2.0853305356706282E-2</v>
      </c>
      <c r="HA22" s="240">
        <f t="shared" si="182"/>
        <v>2.0853305356706282E-2</v>
      </c>
      <c r="HB22" s="240" t="e">
        <f t="shared" si="183"/>
        <v>#DIV/0!</v>
      </c>
      <c r="HC22" s="240" t="e">
        <f t="shared" si="50"/>
        <v>#DIV/0!</v>
      </c>
      <c r="HE22" s="234">
        <f t="shared" si="184"/>
        <v>8.2287911248268231E-2</v>
      </c>
      <c r="HF22" s="251">
        <f t="shared" si="185"/>
        <v>8.2287911248268231E-2</v>
      </c>
      <c r="HG22" s="234" t="e">
        <f t="shared" si="186"/>
        <v>#DIV/0!</v>
      </c>
      <c r="HH22" s="234" t="e">
        <f t="shared" si="51"/>
        <v>#DIV/0!</v>
      </c>
    </row>
    <row r="23" spans="2:216" ht="15.6" x14ac:dyDescent="0.25">
      <c r="B23">
        <v>19</v>
      </c>
      <c r="C23" s="124">
        <f t="shared" si="52"/>
        <v>71.847510292945188</v>
      </c>
      <c r="D23" s="124">
        <f t="shared" si="53"/>
        <v>176.45407108879749</v>
      </c>
      <c r="E23" s="29">
        <f t="shared" si="54"/>
        <v>1.9068436974094936</v>
      </c>
      <c r="F23" s="29">
        <f t="shared" si="0"/>
        <v>1.879962887966353</v>
      </c>
      <c r="G23" s="29">
        <f t="shared" si="1"/>
        <v>1.8837081828662445</v>
      </c>
      <c r="H23" s="29">
        <f t="shared" si="2"/>
        <v>1.9068436974094936</v>
      </c>
      <c r="I23" s="29">
        <f t="shared" si="3"/>
        <v>1.8765945581753829</v>
      </c>
      <c r="J23" s="125">
        <f t="shared" si="4"/>
        <v>1.8907906047653935</v>
      </c>
      <c r="K23" s="126">
        <f t="shared" si="5"/>
        <v>1.4868855509954678E-2</v>
      </c>
      <c r="L23" s="126">
        <f t="shared" si="55"/>
        <v>0.78638298035120513</v>
      </c>
      <c r="N23" s="138">
        <f t="shared" si="56"/>
        <v>397.06602700073256</v>
      </c>
      <c r="O23" s="138">
        <f t="shared" si="57"/>
        <v>325.79239999999999</v>
      </c>
      <c r="P23" s="138">
        <f t="shared" si="58"/>
        <v>382.01932235329394</v>
      </c>
      <c r="Q23" s="138">
        <f t="shared" si="59"/>
        <v>390.77169450226745</v>
      </c>
      <c r="R23" s="138">
        <f t="shared" si="60"/>
        <v>397.06602700073256</v>
      </c>
      <c r="S23" s="138">
        <f t="shared" si="61"/>
        <v>369.16744353558784</v>
      </c>
      <c r="T23" s="138">
        <f t="shared" si="62"/>
        <v>376.98048573210235</v>
      </c>
      <c r="U23" s="138">
        <f t="shared" si="63"/>
        <v>27.216572154577488</v>
      </c>
      <c r="V23" s="138">
        <f t="shared" si="64"/>
        <v>7.219623610416452</v>
      </c>
      <c r="X23" s="227">
        <f t="shared" si="65"/>
        <v>0.42777845884999999</v>
      </c>
      <c r="Y23" s="227">
        <f t="shared" si="66"/>
        <v>0.47</v>
      </c>
      <c r="Z23" s="227">
        <f t="shared" si="67"/>
        <v>0.42777845884999999</v>
      </c>
      <c r="AA23" s="227">
        <f t="shared" si="68"/>
        <v>0.44185230589999996</v>
      </c>
      <c r="AB23" s="227">
        <f t="shared" si="69"/>
        <v>2.4376618148553356E-2</v>
      </c>
      <c r="AC23" s="227">
        <f t="shared" si="70"/>
        <v>5.5169154541133647</v>
      </c>
      <c r="AE23" s="228">
        <f t="shared" si="71"/>
        <v>4.1796565738832339</v>
      </c>
      <c r="AF23" s="228">
        <f t="shared" si="72"/>
        <v>5.2850000000000001</v>
      </c>
      <c r="AG23" s="228">
        <f t="shared" si="73"/>
        <v>4.1796565738832339</v>
      </c>
      <c r="AH23" s="228">
        <f t="shared" si="74"/>
        <v>6.4429151931763302</v>
      </c>
      <c r="AI23" s="228">
        <f t="shared" si="75"/>
        <v>5.2850000000000001</v>
      </c>
      <c r="AJ23" s="228">
        <f t="shared" si="76"/>
        <v>5.467551334603951</v>
      </c>
      <c r="AK23" s="228">
        <f t="shared" si="77"/>
        <v>5.175785579121472</v>
      </c>
      <c r="AL23" s="228">
        <f t="shared" si="78"/>
        <v>5.1450807506668879</v>
      </c>
      <c r="AM23" s="228">
        <f t="shared" si="79"/>
        <v>0.78448993822564239</v>
      </c>
      <c r="AN23" s="228">
        <f t="shared" si="80"/>
        <v>15.247378539665474</v>
      </c>
      <c r="AP23" s="229">
        <f t="shared" si="81"/>
        <v>1.3749288154897497</v>
      </c>
      <c r="AQ23" s="229">
        <f t="shared" si="82"/>
        <v>1.4</v>
      </c>
      <c r="AR23" s="229">
        <f t="shared" si="83"/>
        <v>1.47</v>
      </c>
      <c r="AS23" s="229">
        <f t="shared" si="84"/>
        <v>1.4747500685128647</v>
      </c>
      <c r="AT23" s="229">
        <f t="shared" si="85"/>
        <v>1.3749288154897497</v>
      </c>
      <c r="AU23" s="229">
        <f t="shared" si="86"/>
        <v>0.38718931798949363</v>
      </c>
      <c r="AV23" s="229">
        <f t="shared" si="87"/>
        <v>1.4</v>
      </c>
      <c r="AW23" s="229">
        <f t="shared" si="88"/>
        <v>1.4497425512328539</v>
      </c>
      <c r="AX23" s="229">
        <f t="shared" si="89"/>
        <v>1.4732652003211426</v>
      </c>
      <c r="AY23" s="229">
        <f t="shared" si="90"/>
        <v>1.3116449743373171</v>
      </c>
      <c r="AZ23" s="229">
        <f t="shared" si="91"/>
        <v>0.34912619403041972</v>
      </c>
      <c r="BA23" s="229">
        <f t="shared" si="92"/>
        <v>26.617430849137275</v>
      </c>
      <c r="BC23" s="230">
        <f t="shared" si="93"/>
        <v>9.65</v>
      </c>
      <c r="BD23" s="230">
        <f t="shared" si="94"/>
        <v>11.73</v>
      </c>
      <c r="BE23" s="230">
        <f t="shared" si="95"/>
        <v>9.65</v>
      </c>
      <c r="BF23" s="230">
        <f t="shared" si="96"/>
        <v>9.1677876838685233</v>
      </c>
      <c r="BG23" s="230">
        <f t="shared" si="97"/>
        <v>10.049446920967132</v>
      </c>
      <c r="BH23" s="230">
        <f t="shared" si="98"/>
        <v>1.1431968840563436</v>
      </c>
      <c r="BI23" s="230">
        <f t="shared" si="99"/>
        <v>11.375719410698926</v>
      </c>
      <c r="BK23" s="227">
        <f t="shared" si="6"/>
        <v>19.600000000000001</v>
      </c>
      <c r="BL23" s="227">
        <f t="shared" si="7"/>
        <v>31.73</v>
      </c>
      <c r="BM23" s="227">
        <f t="shared" si="8"/>
        <v>38.754644147416137</v>
      </c>
      <c r="BN23" s="227">
        <f t="shared" si="9"/>
        <v>21.974385113343832</v>
      </c>
      <c r="BO23" s="227">
        <f t="shared" si="10"/>
        <v>19.600000000000001</v>
      </c>
      <c r="BP23" s="227">
        <f t="shared" si="11"/>
        <v>27.577056519240216</v>
      </c>
      <c r="BQ23" s="227">
        <f t="shared" si="12"/>
        <v>31.86</v>
      </c>
      <c r="BR23" s="227">
        <f t="shared" si="100"/>
        <v>27.29944082571431</v>
      </c>
      <c r="BS23" s="227">
        <f t="shared" si="101"/>
        <v>7.2875041977235631</v>
      </c>
      <c r="BT23" s="227">
        <f t="shared" si="13"/>
        <v>26.694701346626871</v>
      </c>
      <c r="BV23" s="231">
        <f t="shared" si="102"/>
        <v>0.26</v>
      </c>
      <c r="BW23" s="231">
        <f t="shared" si="103"/>
        <v>0.29879033353560114</v>
      </c>
      <c r="BX23" s="231">
        <f t="shared" si="104"/>
        <v>0.29977433316980401</v>
      </c>
      <c r="BY23" s="231">
        <f t="shared" si="105"/>
        <v>0.26</v>
      </c>
      <c r="BZ23" s="231">
        <f t="shared" si="106"/>
        <v>0.30572135149858287</v>
      </c>
      <c r="CA23" s="231">
        <f t="shared" si="107"/>
        <v>0.30121913659752381</v>
      </c>
      <c r="CB23" s="231">
        <f t="shared" si="108"/>
        <v>0.48</v>
      </c>
      <c r="CC23" s="231">
        <f t="shared" si="109"/>
        <v>0.46270976688197107</v>
      </c>
      <c r="CD23" s="231">
        <f t="shared" si="110"/>
        <v>0.33352686521043534</v>
      </c>
      <c r="CE23" s="231">
        <f t="shared" si="111"/>
        <v>8.7110600542039104E-2</v>
      </c>
      <c r="CF23" s="231">
        <f t="shared" si="14"/>
        <v>26.118016156532871</v>
      </c>
      <c r="CH23" s="232">
        <f t="shared" si="112"/>
        <v>1.4060870436880404</v>
      </c>
      <c r="CI23" s="232">
        <f t="shared" si="113"/>
        <v>1.52</v>
      </c>
      <c r="CJ23" s="232">
        <f t="shared" si="114"/>
        <v>2.1</v>
      </c>
      <c r="CK23" s="232">
        <f t="shared" si="115"/>
        <v>1.7931295543640033</v>
      </c>
      <c r="CL23" s="232">
        <f t="shared" si="116"/>
        <v>1.8016628595920658</v>
      </c>
      <c r="CM23" s="232">
        <f t="shared" si="117"/>
        <v>1.4060870436880404</v>
      </c>
      <c r="CN23" s="232">
        <f t="shared" si="118"/>
        <v>1.4060870436880404</v>
      </c>
      <c r="CO23" s="232">
        <f t="shared" si="119"/>
        <v>1.692175687733362</v>
      </c>
      <c r="CP23" s="232">
        <f t="shared" si="120"/>
        <v>1.52</v>
      </c>
      <c r="CQ23" s="232">
        <f t="shared" si="121"/>
        <v>1.426387026398557</v>
      </c>
      <c r="CR23" s="232">
        <f t="shared" si="122"/>
        <v>1.6071616259152113</v>
      </c>
      <c r="CS23" s="232">
        <f t="shared" si="123"/>
        <v>0.23373740506507135</v>
      </c>
      <c r="CT23" s="232">
        <f t="shared" si="15"/>
        <v>14.543490915667407</v>
      </c>
      <c r="CV23" s="229">
        <f t="shared" si="16"/>
        <v>0.83</v>
      </c>
      <c r="CW23" s="229">
        <f t="shared" si="17"/>
        <v>1.19</v>
      </c>
      <c r="CX23" s="229">
        <f t="shared" si="18"/>
        <v>0.62376481597277822</v>
      </c>
      <c r="CY23" s="229">
        <f t="shared" si="19"/>
        <v>0.53004285854260313</v>
      </c>
      <c r="CZ23" s="229">
        <f t="shared" si="20"/>
        <v>1.1014897459928643</v>
      </c>
      <c r="DA23" s="229">
        <f t="shared" si="21"/>
        <v>0.83</v>
      </c>
      <c r="DB23" s="229">
        <f t="shared" si="22"/>
        <v>0.48856306999202725</v>
      </c>
      <c r="DC23" s="229">
        <f t="shared" si="23"/>
        <v>0.89</v>
      </c>
      <c r="DD23" s="229">
        <f t="shared" si="24"/>
        <v>0.81048256131253404</v>
      </c>
      <c r="DE23" s="229">
        <f t="shared" si="25"/>
        <v>0.25437476679981547</v>
      </c>
      <c r="DF23" s="229">
        <f t="shared" si="26"/>
        <v>31.385594082106945</v>
      </c>
      <c r="DH23" s="234">
        <f t="shared" si="124"/>
        <v>2.8119999999999999E-2</v>
      </c>
      <c r="DI23" s="234">
        <f t="shared" si="125"/>
        <v>3.7999999999999999E-2</v>
      </c>
      <c r="DJ23" s="234">
        <f t="shared" si="126"/>
        <v>0.10802046036978846</v>
      </c>
      <c r="DK23" s="234">
        <f t="shared" si="27"/>
        <v>5.8046820123262823E-2</v>
      </c>
      <c r="DL23" s="234">
        <f t="shared" si="28"/>
        <v>4.3559466704918177E-2</v>
      </c>
      <c r="DM23" s="234">
        <f t="shared" si="29"/>
        <v>75.041951673527251</v>
      </c>
      <c r="DO23" s="229">
        <f t="shared" si="127"/>
        <v>2.38</v>
      </c>
      <c r="DP23" s="229">
        <f t="shared" si="128"/>
        <v>3.49</v>
      </c>
      <c r="DQ23" s="229">
        <f t="shared" si="129"/>
        <v>3.3998458793045585</v>
      </c>
      <c r="DR23" s="229">
        <f t="shared" si="130"/>
        <v>2.8361859071480899</v>
      </c>
      <c r="DS23" s="229">
        <f t="shared" si="131"/>
        <v>2.4579465653592907</v>
      </c>
      <c r="DT23" s="229">
        <f t="shared" si="132"/>
        <v>2.38</v>
      </c>
      <c r="DU23" s="229">
        <f t="shared" si="133"/>
        <v>3.7582190000000536E-2</v>
      </c>
      <c r="DV23" s="229">
        <f t="shared" si="134"/>
        <v>2.8896798800957111</v>
      </c>
      <c r="DW23" s="229">
        <f t="shared" si="30"/>
        <v>2.4839050527384563</v>
      </c>
      <c r="DX23" s="229">
        <f t="shared" si="31"/>
        <v>1.0788016872814585</v>
      </c>
      <c r="DY23" s="229">
        <f t="shared" si="32"/>
        <v>43.431679729146687</v>
      </c>
      <c r="EA23" s="235">
        <f t="shared" si="135"/>
        <v>0.14000000000000001</v>
      </c>
      <c r="EB23" s="235">
        <f t="shared" si="136"/>
        <v>0.1954115315383966</v>
      </c>
      <c r="EC23" s="235">
        <f t="shared" si="137"/>
        <v>0.14000000000000001</v>
      </c>
      <c r="ED23" s="235">
        <f t="shared" si="138"/>
        <v>0.1508797716151849</v>
      </c>
      <c r="EE23" s="235">
        <f t="shared" si="139"/>
        <v>0.13451811029354202</v>
      </c>
      <c r="EF23" s="235">
        <f t="shared" si="140"/>
        <v>0.15216188268942471</v>
      </c>
      <c r="EG23" s="235">
        <f t="shared" si="141"/>
        <v>2.4896291992114281E-2</v>
      </c>
      <c r="EH23" s="235">
        <f t="shared" si="33"/>
        <v>16.361713953638258</v>
      </c>
      <c r="EJ23" s="229">
        <f t="shared" si="142"/>
        <v>7.5426305676856105</v>
      </c>
      <c r="EK23" s="229">
        <f t="shared" si="143"/>
        <v>16.51569925315653</v>
      </c>
      <c r="EL23" s="229">
        <f t="shared" si="144"/>
        <v>6.91</v>
      </c>
      <c r="EM23" s="229">
        <f t="shared" si="145"/>
        <v>14.4</v>
      </c>
      <c r="EN23" s="229">
        <f t="shared" si="146"/>
        <v>14.683873423592861</v>
      </c>
      <c r="EO23" s="229">
        <f t="shared" si="34"/>
        <v>15.36666016352045</v>
      </c>
      <c r="EP23" s="229">
        <f t="shared" si="147"/>
        <v>15.420952557678495</v>
      </c>
      <c r="EQ23" s="229">
        <f t="shared" si="148"/>
        <v>12.977116566519134</v>
      </c>
      <c r="ER23" s="229">
        <f t="shared" si="149"/>
        <v>3.9892559482004675</v>
      </c>
      <c r="ES23" s="229">
        <f t="shared" si="35"/>
        <v>30.740695960863285</v>
      </c>
      <c r="EU23" s="238">
        <f t="shared" si="191"/>
        <v>1.4369502058589041E-2</v>
      </c>
      <c r="EV23" s="238">
        <f t="shared" si="151"/>
        <v>1.4369502058589041E-2</v>
      </c>
      <c r="EW23" s="238" t="e">
        <f t="shared" si="152"/>
        <v>#DIV/0!</v>
      </c>
      <c r="EX23" s="238" t="e">
        <f t="shared" si="36"/>
        <v>#DIV/0!</v>
      </c>
      <c r="EZ23" s="240">
        <f t="shared" si="153"/>
        <v>2.4546611068188277E-2</v>
      </c>
      <c r="FA23" s="240">
        <f t="shared" si="154"/>
        <v>2.4546611068188277E-2</v>
      </c>
      <c r="FB23" s="240" t="e">
        <f t="shared" si="155"/>
        <v>#DIV/0!</v>
      </c>
      <c r="FC23" s="240" t="e">
        <f t="shared" si="37"/>
        <v>#DIV/0!</v>
      </c>
      <c r="FE23" s="236">
        <f t="shared" si="156"/>
        <v>0.9</v>
      </c>
      <c r="FF23" s="236">
        <f t="shared" si="157"/>
        <v>1.2</v>
      </c>
      <c r="FG23" s="236">
        <f t="shared" si="158"/>
        <v>1.2172575672590298</v>
      </c>
      <c r="FH23" s="236">
        <f t="shared" si="159"/>
        <v>1.1854839198335956</v>
      </c>
      <c r="FI23" s="236">
        <f t="shared" si="160"/>
        <v>0.9</v>
      </c>
      <c r="FJ23" s="236">
        <f t="shared" si="161"/>
        <v>1.0058651441012327</v>
      </c>
      <c r="FK23" s="236">
        <f t="shared" si="38"/>
        <v>1.0681011051989764</v>
      </c>
      <c r="FL23" s="236">
        <f t="shared" si="39"/>
        <v>0.15087277540202026</v>
      </c>
      <c r="FM23" s="236">
        <f t="shared" si="40"/>
        <v>14.125327149990563</v>
      </c>
      <c r="FO23" s="227">
        <f t="shared" si="162"/>
        <v>0.3</v>
      </c>
      <c r="FP23" s="227">
        <f t="shared" si="163"/>
        <v>0.32</v>
      </c>
      <c r="FQ23" s="227">
        <f t="shared" si="164"/>
        <v>0.33696750002406384</v>
      </c>
      <c r="FR23" s="227">
        <f t="shared" si="165"/>
        <v>0.3</v>
      </c>
      <c r="FS23" s="227">
        <f t="shared" si="166"/>
        <v>0.3233137963182533</v>
      </c>
      <c r="FT23" s="227">
        <f t="shared" si="41"/>
        <v>0.31605625926846342</v>
      </c>
      <c r="FU23" s="227">
        <f t="shared" si="42"/>
        <v>1.5977420382508351E-2</v>
      </c>
      <c r="FV23" s="227">
        <f t="shared" si="43"/>
        <v>5.0552456766682363</v>
      </c>
      <c r="FX23" s="230">
        <f t="shared" si="167"/>
        <v>2.94</v>
      </c>
      <c r="FY23" s="230">
        <f t="shared" si="168"/>
        <v>1.5087977161518491</v>
      </c>
      <c r="FZ23" s="230">
        <f t="shared" si="169"/>
        <v>2.94</v>
      </c>
      <c r="GA23" s="230">
        <f t="shared" si="170"/>
        <v>3.2826752073249699</v>
      </c>
      <c r="GB23" s="230">
        <f t="shared" si="44"/>
        <v>2.667868230869205</v>
      </c>
      <c r="GC23" s="230">
        <f t="shared" si="45"/>
        <v>0.78941824063174137</v>
      </c>
      <c r="GD23" s="230">
        <f t="shared" si="46"/>
        <v>29.589851233939875</v>
      </c>
      <c r="GF23" s="231">
        <f t="shared" si="171"/>
        <v>0.06</v>
      </c>
      <c r="GG23" s="231">
        <f t="shared" si="172"/>
        <v>0.05</v>
      </c>
      <c r="GH23" s="231">
        <f t="shared" si="173"/>
        <v>0.06</v>
      </c>
      <c r="GI23" s="231">
        <f t="shared" si="174"/>
        <v>4.9258847763596111E-2</v>
      </c>
      <c r="GJ23" s="245">
        <f t="shared" si="187"/>
        <v>5.4814711940899027E-2</v>
      </c>
      <c r="GK23" s="231">
        <f t="shared" si="188"/>
        <v>5.9950952825951441E-3</v>
      </c>
      <c r="GL23" s="231">
        <f t="shared" si="47"/>
        <v>10.93701867677245</v>
      </c>
      <c r="GN23" s="246">
        <f t="shared" si="175"/>
        <v>0.18</v>
      </c>
      <c r="GO23" s="246">
        <f t="shared" si="176"/>
        <v>0.18</v>
      </c>
      <c r="GP23" s="246">
        <f t="shared" si="177"/>
        <v>0.1508797716151849</v>
      </c>
      <c r="GQ23" s="247">
        <f t="shared" si="189"/>
        <v>0.17029325720506164</v>
      </c>
      <c r="GR23" s="246">
        <f t="shared" si="190"/>
        <v>1.6812571696836375E-2</v>
      </c>
      <c r="GS23" s="246">
        <f t="shared" si="48"/>
        <v>9.8727172013576663</v>
      </c>
      <c r="GU23" s="249">
        <f t="shared" si="178"/>
        <v>1.9686217820266982E-2</v>
      </c>
      <c r="GV23" s="249">
        <f t="shared" si="179"/>
        <v>1.9686217820266982E-2</v>
      </c>
      <c r="GW23" s="249" t="e">
        <f t="shared" si="180"/>
        <v>#DIV/0!</v>
      </c>
      <c r="GX23" s="249" t="e">
        <f t="shared" si="49"/>
        <v>#DIV/0!</v>
      </c>
      <c r="GZ23" s="240">
        <f t="shared" si="181"/>
        <v>2.1554253087883557E-2</v>
      </c>
      <c r="HA23" s="240">
        <f t="shared" si="182"/>
        <v>2.1554253087883557E-2</v>
      </c>
      <c r="HB23" s="240" t="e">
        <f t="shared" si="183"/>
        <v>#DIV/0!</v>
      </c>
      <c r="HC23" s="240" t="e">
        <f t="shared" si="50"/>
        <v>#DIV/0!</v>
      </c>
      <c r="HE23" s="234">
        <f t="shared" si="184"/>
        <v>8.5068337248604756E-2</v>
      </c>
      <c r="HF23" s="251">
        <f t="shared" si="185"/>
        <v>8.5068337248604756E-2</v>
      </c>
      <c r="HG23" s="234" t="e">
        <f t="shared" si="186"/>
        <v>#DIV/0!</v>
      </c>
      <c r="HH23" s="234" t="e">
        <f t="shared" si="51"/>
        <v>#DIV/0!</v>
      </c>
    </row>
    <row r="24" spans="2:216" ht="15.6" x14ac:dyDescent="0.25">
      <c r="B24">
        <v>20</v>
      </c>
      <c r="C24" s="124">
        <f t="shared" si="52"/>
        <v>73.724377359037561</v>
      </c>
      <c r="D24" s="124">
        <f t="shared" si="53"/>
        <v>178.05444833587205</v>
      </c>
      <c r="E24" s="29">
        <f t="shared" si="54"/>
        <v>1.9399282151096502</v>
      </c>
      <c r="F24" s="29">
        <f t="shared" si="0"/>
        <v>1.9131624453373066</v>
      </c>
      <c r="G24" s="29">
        <f t="shared" si="1"/>
        <v>1.9161788118580863</v>
      </c>
      <c r="H24" s="29">
        <f t="shared" si="2"/>
        <v>1.9399282151096502</v>
      </c>
      <c r="I24" s="29">
        <f t="shared" si="3"/>
        <v>1.9095486188254229</v>
      </c>
      <c r="J24" s="125">
        <f t="shared" si="4"/>
        <v>1.9237492612480231</v>
      </c>
      <c r="K24" s="126">
        <f t="shared" si="5"/>
        <v>1.4954662453737151E-2</v>
      </c>
      <c r="L24" s="126">
        <f t="shared" si="55"/>
        <v>0.77737066648880138</v>
      </c>
      <c r="N24" s="138">
        <f t="shared" si="56"/>
        <v>403.98734486208491</v>
      </c>
      <c r="O24" s="138">
        <f t="shared" si="57"/>
        <v>325.79239999999999</v>
      </c>
      <c r="P24" s="138">
        <f t="shared" si="58"/>
        <v>387.4955952505</v>
      </c>
      <c r="Q24" s="138">
        <f t="shared" si="59"/>
        <v>398.51503789195777</v>
      </c>
      <c r="R24" s="138">
        <f t="shared" si="60"/>
        <v>403.98734486208491</v>
      </c>
      <c r="S24" s="138">
        <f t="shared" si="61"/>
        <v>372.80486715700317</v>
      </c>
      <c r="T24" s="138">
        <f t="shared" si="62"/>
        <v>382.09709833727175</v>
      </c>
      <c r="U24" s="138">
        <f t="shared" si="63"/>
        <v>30.045375381700186</v>
      </c>
      <c r="V24" s="138">
        <f t="shared" si="64"/>
        <v>7.8632827918466832</v>
      </c>
      <c r="X24" s="227">
        <f t="shared" si="65"/>
        <v>0.4304962</v>
      </c>
      <c r="Y24" s="227">
        <f t="shared" si="66"/>
        <v>0.47</v>
      </c>
      <c r="Z24" s="227">
        <f t="shared" si="67"/>
        <v>0.4304962</v>
      </c>
      <c r="AA24" s="227">
        <f t="shared" si="68"/>
        <v>0.44366413333333332</v>
      </c>
      <c r="AB24" s="227">
        <f t="shared" si="69"/>
        <v>2.2807529564013124E-2</v>
      </c>
      <c r="AC24" s="227">
        <f t="shared" si="70"/>
        <v>5.1407197135039526</v>
      </c>
      <c r="AE24" s="228">
        <f t="shared" si="71"/>
        <v>4.2678404638923499</v>
      </c>
      <c r="AF24" s="228">
        <f t="shared" si="72"/>
        <v>5.2850000000000001</v>
      </c>
      <c r="AG24" s="228">
        <f t="shared" si="73"/>
        <v>4.2678404638923499</v>
      </c>
      <c r="AH24" s="228">
        <f t="shared" si="74"/>
        <v>6.6111745618359725</v>
      </c>
      <c r="AI24" s="228">
        <f t="shared" si="75"/>
        <v>5.2850000000000001</v>
      </c>
      <c r="AJ24" s="228">
        <f t="shared" si="76"/>
        <v>5.6104000266885468</v>
      </c>
      <c r="AK24" s="228">
        <f t="shared" si="77"/>
        <v>5.2793255093923737</v>
      </c>
      <c r="AL24" s="228">
        <f t="shared" si="78"/>
        <v>5.2295115751002275</v>
      </c>
      <c r="AM24" s="228">
        <f t="shared" si="79"/>
        <v>0.80749929126675102</v>
      </c>
      <c r="AN24" s="228">
        <f t="shared" si="80"/>
        <v>15.441199042594617</v>
      </c>
      <c r="AP24" s="229">
        <f t="shared" si="81"/>
        <v>1.3782225237449117</v>
      </c>
      <c r="AQ24" s="229">
        <f t="shared" si="82"/>
        <v>1.4</v>
      </c>
      <c r="AR24" s="229">
        <f t="shared" si="83"/>
        <v>1.47</v>
      </c>
      <c r="AS24" s="229">
        <f t="shared" si="84"/>
        <v>1.4808200598717434</v>
      </c>
      <c r="AT24" s="229">
        <f t="shared" si="85"/>
        <v>1.3782225237449117</v>
      </c>
      <c r="AU24" s="229">
        <f t="shared" si="86"/>
        <v>0.39852663620509354</v>
      </c>
      <c r="AV24" s="229">
        <f t="shared" si="87"/>
        <v>1.4</v>
      </c>
      <c r="AW24" s="229">
        <f t="shared" si="88"/>
        <v>1.4498341936173949</v>
      </c>
      <c r="AX24" s="229">
        <f t="shared" si="89"/>
        <v>1.4709248275702766</v>
      </c>
      <c r="AY24" s="229">
        <f t="shared" si="90"/>
        <v>1.3140611960838147</v>
      </c>
      <c r="AZ24" s="229">
        <f t="shared" si="91"/>
        <v>0.34575529158367657</v>
      </c>
      <c r="BA24" s="229">
        <f t="shared" si="92"/>
        <v>26.311962685916136</v>
      </c>
      <c r="BC24" s="230">
        <f t="shared" si="93"/>
        <v>9.65</v>
      </c>
      <c r="BD24" s="230">
        <f t="shared" si="94"/>
        <v>11.73</v>
      </c>
      <c r="BE24" s="230">
        <f t="shared" si="95"/>
        <v>9.65</v>
      </c>
      <c r="BF24" s="230">
        <f t="shared" si="96"/>
        <v>9.188189624546931</v>
      </c>
      <c r="BG24" s="230">
        <f t="shared" si="97"/>
        <v>10.054547406136733</v>
      </c>
      <c r="BH24" s="230">
        <f t="shared" si="98"/>
        <v>1.1379857069442585</v>
      </c>
      <c r="BI24" s="230">
        <f t="shared" si="99"/>
        <v>11.318119662449408</v>
      </c>
      <c r="BK24" s="227">
        <f t="shared" si="6"/>
        <v>19.600000000000001</v>
      </c>
      <c r="BL24" s="227">
        <f t="shared" si="7"/>
        <v>31.73</v>
      </c>
      <c r="BM24" s="227">
        <f t="shared" si="8"/>
        <v>39.43095970718413</v>
      </c>
      <c r="BN24" s="227">
        <f t="shared" si="9"/>
        <v>22.198691867405653</v>
      </c>
      <c r="BO24" s="227">
        <f t="shared" si="10"/>
        <v>19.600000000000001</v>
      </c>
      <c r="BP24" s="227">
        <f t="shared" si="11"/>
        <v>28.428072242871146</v>
      </c>
      <c r="BQ24" s="227">
        <f t="shared" si="12"/>
        <v>31.86</v>
      </c>
      <c r="BR24" s="227">
        <f t="shared" si="100"/>
        <v>27.549674831065847</v>
      </c>
      <c r="BS24" s="227">
        <f t="shared" si="101"/>
        <v>7.4500359329923223</v>
      </c>
      <c r="BT24" s="227">
        <f t="shared" si="13"/>
        <v>27.042191890379179</v>
      </c>
      <c r="BV24" s="231">
        <f t="shared" si="102"/>
        <v>0.26</v>
      </c>
      <c r="BW24" s="231">
        <f t="shared" si="103"/>
        <v>0.30486504513399054</v>
      </c>
      <c r="BX24" s="231">
        <f t="shared" si="104"/>
        <v>0.30505589302452085</v>
      </c>
      <c r="BY24" s="231">
        <f t="shared" si="105"/>
        <v>0.26</v>
      </c>
      <c r="BZ24" s="231">
        <f t="shared" si="106"/>
        <v>0.31291139790366485</v>
      </c>
      <c r="CA24" s="231">
        <f t="shared" si="107"/>
        <v>0.30754655124386449</v>
      </c>
      <c r="CB24" s="231">
        <f t="shared" si="108"/>
        <v>0.48</v>
      </c>
      <c r="CC24" s="231">
        <f t="shared" si="109"/>
        <v>0.46891089053671031</v>
      </c>
      <c r="CD24" s="231">
        <f t="shared" si="110"/>
        <v>0.33741122223034387</v>
      </c>
      <c r="CE24" s="231">
        <f t="shared" si="111"/>
        <v>8.7183695970628985E-2</v>
      </c>
      <c r="CF24" s="231">
        <f t="shared" si="14"/>
        <v>25.839003040364329</v>
      </c>
      <c r="CH24" s="232">
        <f t="shared" si="112"/>
        <v>1.4346558407714944</v>
      </c>
      <c r="CI24" s="232">
        <f t="shared" si="113"/>
        <v>1.52</v>
      </c>
      <c r="CJ24" s="232">
        <f t="shared" si="114"/>
        <v>2.1</v>
      </c>
      <c r="CK24" s="232">
        <f t="shared" si="115"/>
        <v>1.8362537952726816</v>
      </c>
      <c r="CL24" s="232">
        <f t="shared" si="116"/>
        <v>1.8468502729805105</v>
      </c>
      <c r="CM24" s="232">
        <f t="shared" si="117"/>
        <v>1.4346558407714944</v>
      </c>
      <c r="CN24" s="232">
        <f t="shared" si="118"/>
        <v>1.4346558407714944</v>
      </c>
      <c r="CO24" s="232">
        <f t="shared" si="119"/>
        <v>1.7349685294005086</v>
      </c>
      <c r="CP24" s="232">
        <f t="shared" si="120"/>
        <v>1.52</v>
      </c>
      <c r="CQ24" s="232">
        <f t="shared" si="121"/>
        <v>1.4510886389953144</v>
      </c>
      <c r="CR24" s="232">
        <f t="shared" si="122"/>
        <v>1.63131287589635</v>
      </c>
      <c r="CS24" s="232">
        <f t="shared" si="123"/>
        <v>0.23384541936454872</v>
      </c>
      <c r="CT24" s="232">
        <f t="shared" si="15"/>
        <v>14.33479884942726</v>
      </c>
      <c r="CV24" s="229">
        <f t="shared" si="16"/>
        <v>0.83</v>
      </c>
      <c r="CW24" s="229">
        <f t="shared" si="17"/>
        <v>1.19</v>
      </c>
      <c r="CX24" s="229">
        <f t="shared" si="18"/>
        <v>0.64534714649603619</v>
      </c>
      <c r="CY24" s="229">
        <f t="shared" si="19"/>
        <v>0.53640019079414192</v>
      </c>
      <c r="CZ24" s="229">
        <f t="shared" si="20"/>
        <v>1.1239680052056102</v>
      </c>
      <c r="DA24" s="229">
        <f t="shared" si="21"/>
        <v>0.83</v>
      </c>
      <c r="DB24" s="229">
        <f t="shared" si="22"/>
        <v>0.5013257660414554</v>
      </c>
      <c r="DC24" s="229">
        <f t="shared" si="23"/>
        <v>0.89</v>
      </c>
      <c r="DD24" s="229">
        <f t="shared" si="24"/>
        <v>0.81838013856715552</v>
      </c>
      <c r="DE24" s="229">
        <f t="shared" si="25"/>
        <v>0.25266049919886141</v>
      </c>
      <c r="DF24" s="229">
        <f t="shared" si="26"/>
        <v>30.873244265339451</v>
      </c>
      <c r="DH24" s="234">
        <f t="shared" si="124"/>
        <v>2.9600000000000001E-2</v>
      </c>
      <c r="DI24" s="234">
        <f t="shared" si="125"/>
        <v>0.04</v>
      </c>
      <c r="DJ24" s="234">
        <f t="shared" si="126"/>
        <v>0.11043144776895741</v>
      </c>
      <c r="DK24" s="234">
        <f t="shared" si="27"/>
        <v>6.001048258965247E-2</v>
      </c>
      <c r="DL24" s="234">
        <f t="shared" si="28"/>
        <v>4.3974370913175236E-2</v>
      </c>
      <c r="DM24" s="234">
        <f t="shared" si="29"/>
        <v>73.27781583405843</v>
      </c>
      <c r="DO24" s="229">
        <f t="shared" si="127"/>
        <v>2.38</v>
      </c>
      <c r="DP24" s="229">
        <f t="shared" si="128"/>
        <v>3.49</v>
      </c>
      <c r="DQ24" s="229">
        <f t="shared" si="129"/>
        <v>3.6840903527120976</v>
      </c>
      <c r="DR24" s="229">
        <f t="shared" si="130"/>
        <v>2.8856238918720352</v>
      </c>
      <c r="DS24" s="229">
        <f t="shared" si="131"/>
        <v>2.5044016471576076</v>
      </c>
      <c r="DT24" s="229">
        <f t="shared" si="132"/>
        <v>2.38</v>
      </c>
      <c r="DU24" s="229">
        <f t="shared" si="133"/>
        <v>0.90399999999999991</v>
      </c>
      <c r="DV24" s="229">
        <f t="shared" si="134"/>
        <v>3.0501718231380561</v>
      </c>
      <c r="DW24" s="229">
        <f t="shared" si="30"/>
        <v>2.6597859643599744</v>
      </c>
      <c r="DX24" s="229">
        <f t="shared" si="31"/>
        <v>0.86233468176221539</v>
      </c>
      <c r="DY24" s="229">
        <f t="shared" si="32"/>
        <v>32.421205815698762</v>
      </c>
      <c r="EA24" s="235">
        <f t="shared" si="135"/>
        <v>0.14000000000000001</v>
      </c>
      <c r="EB24" s="235">
        <f t="shared" si="136"/>
        <v>0.19974552649963104</v>
      </c>
      <c r="EC24" s="235">
        <f t="shared" si="137"/>
        <v>0.14000000000000001</v>
      </c>
      <c r="ED24" s="235">
        <f t="shared" si="138"/>
        <v>0.15482119245397888</v>
      </c>
      <c r="EE24" s="235">
        <f t="shared" si="139"/>
        <v>0.1372670705468165</v>
      </c>
      <c r="EF24" s="235">
        <f t="shared" si="140"/>
        <v>0.15436675790008531</v>
      </c>
      <c r="EG24" s="235">
        <f t="shared" si="141"/>
        <v>2.6289950185735197E-2</v>
      </c>
      <c r="EH24" s="235">
        <f t="shared" si="33"/>
        <v>17.030836524241511</v>
      </c>
      <c r="EJ24" s="229">
        <f t="shared" si="142"/>
        <v>7.5426305676856105</v>
      </c>
      <c r="EK24" s="229">
        <f t="shared" si="143"/>
        <v>16.557955094878015</v>
      </c>
      <c r="EL24" s="229">
        <f t="shared" si="144"/>
        <v>6.91</v>
      </c>
      <c r="EM24" s="229">
        <f t="shared" si="145"/>
        <v>14.4</v>
      </c>
      <c r="EN24" s="229">
        <f t="shared" si="146"/>
        <v>15.165359137538228</v>
      </c>
      <c r="EO24" s="229">
        <f t="shared" si="34"/>
        <v>17.224087253000647</v>
      </c>
      <c r="EP24" s="229">
        <f t="shared" si="147"/>
        <v>16.556737123151628</v>
      </c>
      <c r="EQ24" s="229">
        <f t="shared" si="148"/>
        <v>13.479538453750589</v>
      </c>
      <c r="ER24" s="229">
        <f t="shared" si="149"/>
        <v>4.3791627425844277</v>
      </c>
      <c r="ES24" s="229">
        <f t="shared" si="35"/>
        <v>32.487482843790957</v>
      </c>
      <c r="EU24" s="238">
        <f t="shared" si="191"/>
        <v>1.4744875471807512E-2</v>
      </c>
      <c r="EV24" s="238">
        <f t="shared" si="151"/>
        <v>1.4744875471807512E-2</v>
      </c>
      <c r="EW24" s="238" t="e">
        <f t="shared" si="152"/>
        <v>#DIV/0!</v>
      </c>
      <c r="EX24" s="238" t="e">
        <f t="shared" si="36"/>
        <v>#DIV/0!</v>
      </c>
      <c r="EZ24" s="240">
        <f t="shared" si="153"/>
        <v>2.5207472575686923E-2</v>
      </c>
      <c r="FA24" s="240">
        <f t="shared" si="154"/>
        <v>2.5207472575686923E-2</v>
      </c>
      <c r="FB24" s="240" t="e">
        <f t="shared" si="155"/>
        <v>#DIV/0!</v>
      </c>
      <c r="FC24" s="240" t="e">
        <f t="shared" si="37"/>
        <v>#DIV/0!</v>
      </c>
      <c r="FE24" s="236">
        <f t="shared" si="156"/>
        <v>0.9</v>
      </c>
      <c r="FF24" s="236">
        <f t="shared" si="157"/>
        <v>1.2</v>
      </c>
      <c r="FG24" s="236">
        <f t="shared" si="158"/>
        <v>1.244362439409799</v>
      </c>
      <c r="FH24" s="236">
        <f t="shared" si="159"/>
        <v>1.2164522264241198</v>
      </c>
      <c r="FI24" s="236">
        <f t="shared" si="160"/>
        <v>0.9</v>
      </c>
      <c r="FJ24" s="236">
        <f t="shared" si="161"/>
        <v>1.032141283026526</v>
      </c>
      <c r="FK24" s="236">
        <f t="shared" si="38"/>
        <v>1.082159324810074</v>
      </c>
      <c r="FL24" s="236">
        <f t="shared" si="39"/>
        <v>0.1594344393619983</v>
      </c>
      <c r="FM24" s="236">
        <f t="shared" si="40"/>
        <v>14.732991317150097</v>
      </c>
      <c r="FO24" s="227">
        <f t="shared" si="162"/>
        <v>0.3</v>
      </c>
      <c r="FP24" s="227">
        <f t="shared" si="163"/>
        <v>0.32</v>
      </c>
      <c r="FQ24" s="227">
        <f t="shared" si="164"/>
        <v>0.34467476040689987</v>
      </c>
      <c r="FR24" s="227">
        <f t="shared" si="165"/>
        <v>0.3</v>
      </c>
      <c r="FS24" s="227">
        <f t="shared" si="166"/>
        <v>0.33175969811566902</v>
      </c>
      <c r="FT24" s="227">
        <f t="shared" si="41"/>
        <v>0.3192868917045138</v>
      </c>
      <c r="FU24" s="227">
        <f t="shared" si="42"/>
        <v>1.965064683225547E-2</v>
      </c>
      <c r="FV24" s="227">
        <f t="shared" si="43"/>
        <v>6.1545423074998311</v>
      </c>
      <c r="FX24" s="230">
        <f t="shared" si="167"/>
        <v>2.94</v>
      </c>
      <c r="FY24" s="230">
        <f t="shared" si="168"/>
        <v>1.548211924539789</v>
      </c>
      <c r="FZ24" s="230">
        <f t="shared" si="169"/>
        <v>2.94</v>
      </c>
      <c r="GA24" s="230">
        <f t="shared" si="170"/>
        <v>3.4021000203642391</v>
      </c>
      <c r="GB24" s="230">
        <f t="shared" si="44"/>
        <v>2.7075779862260068</v>
      </c>
      <c r="GC24" s="230">
        <f t="shared" si="45"/>
        <v>0.80302148287303798</v>
      </c>
      <c r="GD24" s="230">
        <f t="shared" si="46"/>
        <v>29.658295604343426</v>
      </c>
      <c r="GF24" s="231">
        <f t="shared" si="171"/>
        <v>0.06</v>
      </c>
      <c r="GG24" s="231">
        <f t="shared" si="172"/>
        <v>0.05</v>
      </c>
      <c r="GH24" s="231">
        <f t="shared" si="173"/>
        <v>0.06</v>
      </c>
      <c r="GI24" s="231">
        <f t="shared" si="174"/>
        <v>5.6389122164342928E-2</v>
      </c>
      <c r="GJ24" s="245">
        <f t="shared" si="187"/>
        <v>5.6597280541085732E-2</v>
      </c>
      <c r="GK24" s="231">
        <f t="shared" si="188"/>
        <v>4.7160873571123266E-3</v>
      </c>
      <c r="GL24" s="231">
        <f t="shared" si="47"/>
        <v>8.3327101797563774</v>
      </c>
      <c r="GN24" s="246">
        <f t="shared" si="175"/>
        <v>0.18</v>
      </c>
      <c r="GO24" s="246">
        <f t="shared" si="176"/>
        <v>0.18</v>
      </c>
      <c r="GP24" s="246">
        <f t="shared" si="177"/>
        <v>0.15482119245397888</v>
      </c>
      <c r="GQ24" s="247">
        <f t="shared" si="189"/>
        <v>0.17160706415132629</v>
      </c>
      <c r="GR24" s="246">
        <f t="shared" si="190"/>
        <v>1.4536991314569071E-2</v>
      </c>
      <c r="GS24" s="246">
        <f t="shared" si="48"/>
        <v>8.4710914358106386</v>
      </c>
      <c r="GU24" s="249">
        <f t="shared" si="178"/>
        <v>2.020047939637629E-2</v>
      </c>
      <c r="GV24" s="249">
        <f t="shared" si="179"/>
        <v>2.020047939637629E-2</v>
      </c>
      <c r="GW24" s="249" t="e">
        <f t="shared" si="180"/>
        <v>#DIV/0!</v>
      </c>
      <c r="GX24" s="249" t="e">
        <f t="shared" si="49"/>
        <v>#DIV/0!</v>
      </c>
      <c r="GZ24" s="240">
        <f t="shared" si="181"/>
        <v>2.2117313207711271E-2</v>
      </c>
      <c r="HA24" s="240">
        <f t="shared" si="182"/>
        <v>2.2117313207711271E-2</v>
      </c>
      <c r="HB24" s="240" t="e">
        <f t="shared" si="183"/>
        <v>#DIV/0!</v>
      </c>
      <c r="HC24" s="240" t="e">
        <f t="shared" si="50"/>
        <v>#DIV/0!</v>
      </c>
      <c r="HE24" s="234">
        <f t="shared" si="184"/>
        <v>8.7301809057254681E-2</v>
      </c>
      <c r="HF24" s="251">
        <f t="shared" si="185"/>
        <v>8.7301809057254681E-2</v>
      </c>
      <c r="HG24" s="234" t="e">
        <f t="shared" si="186"/>
        <v>#DIV/0!</v>
      </c>
      <c r="HH24" s="234" t="e">
        <f t="shared" si="51"/>
        <v>#DIV/0!</v>
      </c>
    </row>
    <row r="25" spans="2:216" ht="15.6" x14ac:dyDescent="0.25">
      <c r="B25">
        <v>21</v>
      </c>
      <c r="C25" s="124">
        <f t="shared" si="52"/>
        <v>75.184088506865891</v>
      </c>
      <c r="D25" s="124">
        <f t="shared" si="53"/>
        <v>179.3331256648973</v>
      </c>
      <c r="E25" s="29">
        <f t="shared" si="54"/>
        <v>1.9657061602329657</v>
      </c>
      <c r="F25" s="29">
        <f t="shared" si="0"/>
        <v>1.9392050045385756</v>
      </c>
      <c r="G25" s="29">
        <f t="shared" si="1"/>
        <v>1.9414786270511915</v>
      </c>
      <c r="H25" s="29">
        <f t="shared" si="2"/>
        <v>1.9657061602329657</v>
      </c>
      <c r="I25" s="29">
        <f t="shared" si="3"/>
        <v>1.9352718436811791</v>
      </c>
      <c r="J25" s="125">
        <f t="shared" si="4"/>
        <v>1.9494735591473755</v>
      </c>
      <c r="K25" s="126">
        <f t="shared" si="5"/>
        <v>1.4983704074486326E-2</v>
      </c>
      <c r="L25" s="126">
        <f t="shared" si="55"/>
        <v>0.7686025801262788</v>
      </c>
      <c r="N25" s="138">
        <f t="shared" si="56"/>
        <v>409.38944742094884</v>
      </c>
      <c r="O25" s="138">
        <f t="shared" si="57"/>
        <v>325.79239999999999</v>
      </c>
      <c r="P25" s="138">
        <f t="shared" si="58"/>
        <v>391.41875466651692</v>
      </c>
      <c r="Q25" s="138">
        <f t="shared" si="59"/>
        <v>404.50476771817335</v>
      </c>
      <c r="R25" s="138">
        <f t="shared" si="60"/>
        <v>409.38944742094884</v>
      </c>
      <c r="S25" s="138">
        <f t="shared" si="61"/>
        <v>375.99153444931738</v>
      </c>
      <c r="T25" s="138">
        <f t="shared" si="62"/>
        <v>386.08105861265085</v>
      </c>
      <c r="U25" s="138">
        <f t="shared" si="63"/>
        <v>32.221132472963156</v>
      </c>
      <c r="V25" s="138">
        <f t="shared" si="64"/>
        <v>8.3456910807142499</v>
      </c>
      <c r="X25" s="227">
        <f t="shared" si="65"/>
        <v>0.43300459515</v>
      </c>
      <c r="Y25" s="227">
        <f t="shared" si="66"/>
        <v>0.47</v>
      </c>
      <c r="Z25" s="227">
        <f t="shared" si="67"/>
        <v>0.43300459515</v>
      </c>
      <c r="AA25" s="227">
        <f t="shared" si="68"/>
        <v>0.44533639676666664</v>
      </c>
      <c r="AB25" s="227">
        <f t="shared" si="69"/>
        <v>2.1359306948926668E-2</v>
      </c>
      <c r="AC25" s="227">
        <f t="shared" si="70"/>
        <v>4.7962185673581601</v>
      </c>
      <c r="AE25" s="228">
        <f t="shared" si="71"/>
        <v>4.3368873473800331</v>
      </c>
      <c r="AF25" s="228">
        <f t="shared" si="72"/>
        <v>5.2850000000000001</v>
      </c>
      <c r="AG25" s="228">
        <f t="shared" si="73"/>
        <v>4.3368873473800331</v>
      </c>
      <c r="AH25" s="228">
        <f t="shared" si="74"/>
        <v>6.7420345905011452</v>
      </c>
      <c r="AI25" s="228">
        <f t="shared" si="75"/>
        <v>5.2850000000000001</v>
      </c>
      <c r="AJ25" s="228">
        <f t="shared" si="76"/>
        <v>5.7214949800770398</v>
      </c>
      <c r="AK25" s="228">
        <f t="shared" si="77"/>
        <v>5.3601386339252466</v>
      </c>
      <c r="AL25" s="228">
        <f t="shared" si="78"/>
        <v>5.2953489856090714</v>
      </c>
      <c r="AM25" s="228">
        <f t="shared" si="79"/>
        <v>0.82827219493872184</v>
      </c>
      <c r="AN25" s="228">
        <f t="shared" si="80"/>
        <v>15.641503462560813</v>
      </c>
      <c r="AP25" s="229">
        <f t="shared" si="81"/>
        <v>1.381220839813375</v>
      </c>
      <c r="AQ25" s="229">
        <f t="shared" si="82"/>
        <v>1.4</v>
      </c>
      <c r="AR25" s="229">
        <f t="shared" si="83"/>
        <v>1.47</v>
      </c>
      <c r="AS25" s="229">
        <f t="shared" si="84"/>
        <v>1.4854808362139251</v>
      </c>
      <c r="AT25" s="229">
        <f t="shared" si="85"/>
        <v>1.381220839813375</v>
      </c>
      <c r="AU25" s="229">
        <f t="shared" si="86"/>
        <v>0.41166737168836948</v>
      </c>
      <c r="AV25" s="229">
        <f t="shared" si="87"/>
        <v>1.4</v>
      </c>
      <c r="AW25" s="229">
        <f t="shared" si="88"/>
        <v>1.4498932146507544</v>
      </c>
      <c r="AX25" s="229">
        <f t="shared" si="89"/>
        <v>1.468588172385318</v>
      </c>
      <c r="AY25" s="229">
        <f t="shared" si="90"/>
        <v>1.3164523638405683</v>
      </c>
      <c r="AZ25" s="229">
        <f t="shared" si="91"/>
        <v>0.34170262545609836</v>
      </c>
      <c r="BA25" s="229">
        <f t="shared" si="92"/>
        <v>25.956322829580259</v>
      </c>
      <c r="BC25" s="230">
        <f t="shared" si="93"/>
        <v>9.65</v>
      </c>
      <c r="BD25" s="230">
        <f t="shared" si="94"/>
        <v>11.73</v>
      </c>
      <c r="BE25" s="230">
        <f t="shared" si="95"/>
        <v>9.65</v>
      </c>
      <c r="BF25" s="230">
        <f t="shared" si="96"/>
        <v>9.1957278499881454</v>
      </c>
      <c r="BG25" s="230">
        <f t="shared" si="97"/>
        <v>10.056431962497037</v>
      </c>
      <c r="BH25" s="230">
        <f t="shared" si="98"/>
        <v>1.1360773778987099</v>
      </c>
      <c r="BI25" s="230">
        <f t="shared" si="99"/>
        <v>11.297022464184396</v>
      </c>
      <c r="BK25" s="227">
        <f t="shared" si="6"/>
        <v>19.600000000000001</v>
      </c>
      <c r="BL25" s="227">
        <f t="shared" si="7"/>
        <v>31.73</v>
      </c>
      <c r="BM25" s="227">
        <f t="shared" si="8"/>
        <v>39.960101149270372</v>
      </c>
      <c r="BN25" s="227">
        <f t="shared" si="9"/>
        <v>22.362077890521022</v>
      </c>
      <c r="BO25" s="227">
        <f t="shared" si="10"/>
        <v>19.600000000000001</v>
      </c>
      <c r="BP25" s="227">
        <f t="shared" si="11"/>
        <v>29.106626191878</v>
      </c>
      <c r="BQ25" s="227">
        <f t="shared" si="12"/>
        <v>31.86</v>
      </c>
      <c r="BR25" s="227">
        <f t="shared" si="100"/>
        <v>27.745543604524205</v>
      </c>
      <c r="BS25" s="227">
        <f t="shared" si="101"/>
        <v>7.5887424336039757</v>
      </c>
      <c r="BT25" s="227">
        <f t="shared" si="13"/>
        <v>27.351211934325015</v>
      </c>
      <c r="BV25" s="231">
        <f t="shared" si="102"/>
        <v>0.26</v>
      </c>
      <c r="BW25" s="231">
        <f t="shared" si="103"/>
        <v>0.30947929386253753</v>
      </c>
      <c r="BX25" s="231">
        <f t="shared" si="104"/>
        <v>0.30919576577997776</v>
      </c>
      <c r="BY25" s="231">
        <f t="shared" si="105"/>
        <v>0.26</v>
      </c>
      <c r="BZ25" s="231">
        <f t="shared" si="106"/>
        <v>0.31845391531489242</v>
      </c>
      <c r="CA25" s="231">
        <f t="shared" si="107"/>
        <v>0.31254027458766992</v>
      </c>
      <c r="CB25" s="231">
        <f t="shared" si="108"/>
        <v>0.48</v>
      </c>
      <c r="CC25" s="231">
        <f t="shared" si="109"/>
        <v>0.47380704849700039</v>
      </c>
      <c r="CD25" s="231">
        <f t="shared" si="110"/>
        <v>0.34043453725525979</v>
      </c>
      <c r="CE25" s="231">
        <f t="shared" si="111"/>
        <v>8.7342920459251988E-2</v>
      </c>
      <c r="CF25" s="231">
        <f t="shared" si="14"/>
        <v>25.656304193884349</v>
      </c>
      <c r="CH25" s="232">
        <f t="shared" si="112"/>
        <v>1.456764315937191</v>
      </c>
      <c r="CI25" s="232">
        <f t="shared" si="113"/>
        <v>1.52</v>
      </c>
      <c r="CJ25" s="232">
        <f t="shared" si="114"/>
        <v>2.1</v>
      </c>
      <c r="CK25" s="232">
        <f t="shared" si="115"/>
        <v>1.8695622731784063</v>
      </c>
      <c r="CL25" s="232">
        <f t="shared" si="116"/>
        <v>1.8810001162120153</v>
      </c>
      <c r="CM25" s="232">
        <f t="shared" si="117"/>
        <v>1.456764315937191</v>
      </c>
      <c r="CN25" s="232">
        <f t="shared" si="118"/>
        <v>1.456764315937191</v>
      </c>
      <c r="CO25" s="232">
        <f t="shared" si="119"/>
        <v>1.7681736898365408</v>
      </c>
      <c r="CP25" s="232">
        <f t="shared" si="120"/>
        <v>1.52</v>
      </c>
      <c r="CQ25" s="232">
        <f t="shared" si="121"/>
        <v>1.4704868473065702</v>
      </c>
      <c r="CR25" s="232">
        <f t="shared" si="122"/>
        <v>1.6499515874345108</v>
      </c>
      <c r="CS25" s="232">
        <f t="shared" si="123"/>
        <v>0.23477618273123585</v>
      </c>
      <c r="CT25" s="232">
        <f t="shared" si="15"/>
        <v>14.229277059958251</v>
      </c>
      <c r="CV25" s="229">
        <f t="shared" si="16"/>
        <v>0.83</v>
      </c>
      <c r="CW25" s="229">
        <f t="shared" si="17"/>
        <v>1.19</v>
      </c>
      <c r="CX25" s="229">
        <f t="shared" si="18"/>
        <v>0.66254379018401988</v>
      </c>
      <c r="CY25" s="229">
        <f t="shared" si="19"/>
        <v>0.54140655211409938</v>
      </c>
      <c r="CZ25" s="229">
        <f t="shared" si="20"/>
        <v>1.1412286002380307</v>
      </c>
      <c r="DA25" s="229">
        <f t="shared" si="21"/>
        <v>0.83</v>
      </c>
      <c r="DB25" s="229">
        <f t="shared" si="22"/>
        <v>0.51125180184668806</v>
      </c>
      <c r="DC25" s="229">
        <f t="shared" si="23"/>
        <v>0.89</v>
      </c>
      <c r="DD25" s="229">
        <f t="shared" si="24"/>
        <v>0.82455384304785473</v>
      </c>
      <c r="DE25" s="229">
        <f t="shared" si="25"/>
        <v>0.25149670000570973</v>
      </c>
      <c r="DF25" s="229">
        <f t="shared" si="26"/>
        <v>30.50094328298626</v>
      </c>
      <c r="DH25" s="234">
        <f t="shared" si="124"/>
        <v>3.108E-2</v>
      </c>
      <c r="DI25" s="234">
        <f t="shared" si="125"/>
        <v>4.2000000000000003E-2</v>
      </c>
      <c r="DJ25" s="234">
        <f t="shared" si="126"/>
        <v>0.11233312994683715</v>
      </c>
      <c r="DK25" s="234">
        <f t="shared" si="27"/>
        <v>6.1804376648945725E-2</v>
      </c>
      <c r="DL25" s="234">
        <f t="shared" si="28"/>
        <v>4.4098500908527259E-2</v>
      </c>
      <c r="DM25" s="234">
        <f t="shared" si="29"/>
        <v>71.351744487304856</v>
      </c>
      <c r="DO25" s="229">
        <f t="shared" si="127"/>
        <v>2.38</v>
      </c>
      <c r="DP25" s="229">
        <f t="shared" si="128"/>
        <v>3.49</v>
      </c>
      <c r="DQ25" s="229">
        <f t="shared" si="129"/>
        <v>3.7334567467521094</v>
      </c>
      <c r="DR25" s="229">
        <f t="shared" si="130"/>
        <v>2.9242103387210632</v>
      </c>
      <c r="DS25" s="229">
        <f t="shared" si="131"/>
        <v>2.5411767792772735</v>
      </c>
      <c r="DT25" s="229">
        <f t="shared" si="132"/>
        <v>2.38</v>
      </c>
      <c r="DU25" s="229">
        <f t="shared" si="133"/>
        <v>0.94919999999999993</v>
      </c>
      <c r="DV25" s="229">
        <f t="shared" si="134"/>
        <v>3.181604957354192</v>
      </c>
      <c r="DW25" s="229">
        <f t="shared" si="30"/>
        <v>2.6974561027630801</v>
      </c>
      <c r="DX25" s="229">
        <f t="shared" si="31"/>
        <v>0.86764213676908064</v>
      </c>
      <c r="DY25" s="229">
        <f t="shared" si="32"/>
        <v>32.165199495937316</v>
      </c>
      <c r="EA25" s="235">
        <f t="shared" si="135"/>
        <v>0.14000000000000001</v>
      </c>
      <c r="EB25" s="235">
        <f t="shared" si="136"/>
        <v>0.20308911143455369</v>
      </c>
      <c r="EC25" s="235">
        <f t="shared" si="137"/>
        <v>0.14000000000000001</v>
      </c>
      <c r="ED25" s="235">
        <f t="shared" si="138"/>
        <v>0.15788658586441837</v>
      </c>
      <c r="EE25" s="235">
        <f t="shared" si="139"/>
        <v>0.13943533103758213</v>
      </c>
      <c r="EF25" s="235">
        <f t="shared" si="140"/>
        <v>0.15608220566731085</v>
      </c>
      <c r="EG25" s="235">
        <f t="shared" si="141"/>
        <v>2.7419418716009752E-2</v>
      </c>
      <c r="EH25" s="235">
        <f t="shared" si="33"/>
        <v>17.567293208589216</v>
      </c>
      <c r="EJ25" s="229">
        <f t="shared" si="142"/>
        <v>7.5426305676856105</v>
      </c>
      <c r="EK25" s="229">
        <f t="shared" si="143"/>
        <v>16.480444713964765</v>
      </c>
      <c r="EL25" s="229">
        <f t="shared" si="144"/>
        <v>6.91</v>
      </c>
      <c r="EM25" s="229">
        <f t="shared" si="145"/>
        <v>14.4</v>
      </c>
      <c r="EN25" s="229">
        <f t="shared" si="146"/>
        <v>15.594343933568966</v>
      </c>
      <c r="EO25" s="229">
        <f t="shared" si="34"/>
        <v>17.625863239286211</v>
      </c>
      <c r="EP25" s="229">
        <f t="shared" si="147"/>
        <v>17.47676833916378</v>
      </c>
      <c r="EQ25" s="229">
        <f t="shared" si="148"/>
        <v>13.718578684809904</v>
      </c>
      <c r="ER25" s="229">
        <f t="shared" si="149"/>
        <v>4.5734865467650918</v>
      </c>
      <c r="ES25" s="229">
        <f t="shared" si="35"/>
        <v>33.33790366948984</v>
      </c>
      <c r="EU25" s="238">
        <f t="shared" si="191"/>
        <v>1.5036817701373179E-2</v>
      </c>
      <c r="EV25" s="238">
        <f t="shared" si="151"/>
        <v>1.5036817701373179E-2</v>
      </c>
      <c r="EW25" s="238" t="e">
        <f t="shared" si="152"/>
        <v>#DIV/0!</v>
      </c>
      <c r="EX25" s="238" t="e">
        <f t="shared" si="36"/>
        <v>#DIV/0!</v>
      </c>
      <c r="EZ25" s="240">
        <f t="shared" si="153"/>
        <v>2.5711413784708027E-2</v>
      </c>
      <c r="FA25" s="240">
        <f t="shared" si="154"/>
        <v>2.5711413784708027E-2</v>
      </c>
      <c r="FB25" s="240" t="e">
        <f t="shared" si="155"/>
        <v>#DIV/0!</v>
      </c>
      <c r="FC25" s="240" t="e">
        <f t="shared" si="37"/>
        <v>#DIV/0!</v>
      </c>
      <c r="FE25" s="236">
        <f t="shared" si="156"/>
        <v>0.9</v>
      </c>
      <c r="FF25" s="236">
        <f t="shared" si="157"/>
        <v>1.2</v>
      </c>
      <c r="FG25" s="236">
        <f t="shared" si="158"/>
        <v>1.2691598878532409</v>
      </c>
      <c r="FH25" s="236">
        <f t="shared" si="159"/>
        <v>1.2405374603632873</v>
      </c>
      <c r="FI25" s="236">
        <f t="shared" si="160"/>
        <v>0.9</v>
      </c>
      <c r="FJ25" s="236">
        <f t="shared" si="161"/>
        <v>1.0525772390961226</v>
      </c>
      <c r="FK25" s="236">
        <f t="shared" si="38"/>
        <v>1.0937124312187751</v>
      </c>
      <c r="FL25" s="236">
        <f t="shared" si="39"/>
        <v>0.16755749016296237</v>
      </c>
      <c r="FM25" s="236">
        <f t="shared" si="40"/>
        <v>15.320068180650118</v>
      </c>
      <c r="FO25" s="227">
        <f t="shared" si="162"/>
        <v>0.3</v>
      </c>
      <c r="FP25" s="227">
        <f t="shared" si="163"/>
        <v>0.32</v>
      </c>
      <c r="FQ25" s="227">
        <f t="shared" si="164"/>
        <v>0.35074858305602152</v>
      </c>
      <c r="FR25" s="227">
        <f t="shared" si="165"/>
        <v>0.3</v>
      </c>
      <c r="FS25" s="227">
        <f t="shared" si="166"/>
        <v>0.3383283982808965</v>
      </c>
      <c r="FT25" s="227">
        <f t="shared" si="41"/>
        <v>0.32181539626738359</v>
      </c>
      <c r="FU25" s="227">
        <f t="shared" si="42"/>
        <v>2.272073516338145E-2</v>
      </c>
      <c r="FV25" s="227">
        <f t="shared" si="43"/>
        <v>7.0601765567809238</v>
      </c>
      <c r="FX25" s="230">
        <f t="shared" si="167"/>
        <v>2.94</v>
      </c>
      <c r="FY25" s="230">
        <f t="shared" si="168"/>
        <v>1.5788658586441837</v>
      </c>
      <c r="FZ25" s="230">
        <f t="shared" si="169"/>
        <v>2.94</v>
      </c>
      <c r="GA25" s="230">
        <f t="shared" si="170"/>
        <v>3.5001602163065599</v>
      </c>
      <c r="GB25" s="230">
        <f t="shared" si="44"/>
        <v>2.7397565187376856</v>
      </c>
      <c r="GC25" s="230">
        <f t="shared" si="45"/>
        <v>0.81773586027617462</v>
      </c>
      <c r="GD25" s="230">
        <f t="shared" si="46"/>
        <v>29.847026722394222</v>
      </c>
      <c r="GF25" s="231">
        <f t="shared" si="171"/>
        <v>0.06</v>
      </c>
      <c r="GG25" s="231">
        <f t="shared" si="172"/>
        <v>0.05</v>
      </c>
      <c r="GH25" s="231">
        <f t="shared" si="173"/>
        <v>0.06</v>
      </c>
      <c r="GI25" s="231">
        <f t="shared" si="174"/>
        <v>6.0147270805492717E-2</v>
      </c>
      <c r="GJ25" s="245">
        <f t="shared" si="187"/>
        <v>5.7536817701373172E-2</v>
      </c>
      <c r="GK25" s="231">
        <f t="shared" si="188"/>
        <v>5.0250247278023881E-3</v>
      </c>
      <c r="GL25" s="231">
        <f t="shared" si="47"/>
        <v>8.7335812590178428</v>
      </c>
      <c r="GN25" s="246">
        <f t="shared" si="175"/>
        <v>0.18</v>
      </c>
      <c r="GO25" s="246">
        <f t="shared" si="176"/>
        <v>0.18</v>
      </c>
      <c r="GP25" s="246">
        <f t="shared" si="177"/>
        <v>0.15788658586441837</v>
      </c>
      <c r="GQ25" s="247">
        <f t="shared" si="189"/>
        <v>0.17262886195480612</v>
      </c>
      <c r="GR25" s="246">
        <f t="shared" si="190"/>
        <v>1.2767185603879728E-2</v>
      </c>
      <c r="GS25" s="246">
        <f t="shared" si="48"/>
        <v>7.3957422063189826</v>
      </c>
      <c r="GU25" s="249">
        <f t="shared" si="178"/>
        <v>2.0600440250881254E-2</v>
      </c>
      <c r="GV25" s="249">
        <f t="shared" si="179"/>
        <v>2.0600440250881254E-2</v>
      </c>
      <c r="GW25" s="249" t="e">
        <f t="shared" si="180"/>
        <v>#DIV/0!</v>
      </c>
      <c r="GX25" s="249" t="e">
        <f t="shared" si="49"/>
        <v>#DIV/0!</v>
      </c>
      <c r="GZ25" s="240">
        <f t="shared" si="181"/>
        <v>2.2555226552059771E-2</v>
      </c>
      <c r="HA25" s="240">
        <f t="shared" si="182"/>
        <v>2.2555226552059771E-2</v>
      </c>
      <c r="HB25" s="240" t="e">
        <f t="shared" si="183"/>
        <v>#DIV/0!</v>
      </c>
      <c r="HC25" s="240" t="e">
        <f t="shared" si="50"/>
        <v>#DIV/0!</v>
      </c>
      <c r="HE25" s="234">
        <f t="shared" si="184"/>
        <v>8.9038865323170388E-2</v>
      </c>
      <c r="HF25" s="251">
        <f t="shared" si="185"/>
        <v>8.9038865323170388E-2</v>
      </c>
      <c r="HG25" s="234" t="e">
        <f t="shared" si="186"/>
        <v>#DIV/0!</v>
      </c>
      <c r="HH25" s="234" t="e">
        <f t="shared" si="51"/>
        <v>#DIV/0!</v>
      </c>
    </row>
    <row r="26" spans="2:216" ht="15.6" x14ac:dyDescent="0.25">
      <c r="B26">
        <v>22</v>
      </c>
      <c r="C26" s="124">
        <f t="shared" si="52"/>
        <v>76.278273722340558</v>
      </c>
      <c r="D26" s="124">
        <f t="shared" si="53"/>
        <v>180.31602175679186</v>
      </c>
      <c r="E26" s="29">
        <f t="shared" si="54"/>
        <v>1.9850824558664975</v>
      </c>
      <c r="F26" s="29">
        <f t="shared" si="0"/>
        <v>1.9588968474713158</v>
      </c>
      <c r="G26" s="29">
        <f t="shared" si="1"/>
        <v>1.9604959043662009</v>
      </c>
      <c r="H26" s="29">
        <f t="shared" si="2"/>
        <v>1.9850824558664975</v>
      </c>
      <c r="I26" s="29">
        <f t="shared" si="3"/>
        <v>1.9546379932020437</v>
      </c>
      <c r="J26" s="125">
        <f t="shared" si="4"/>
        <v>1.9688391313545111</v>
      </c>
      <c r="K26" s="126">
        <f t="shared" si="5"/>
        <v>1.4981838610642657E-2</v>
      </c>
      <c r="L26" s="126">
        <f t="shared" si="55"/>
        <v>0.76094782819231832</v>
      </c>
      <c r="N26" s="138">
        <f t="shared" si="56"/>
        <v>413.4562175844473</v>
      </c>
      <c r="O26" s="138">
        <f t="shared" si="57"/>
        <v>325.79239999999999</v>
      </c>
      <c r="P26" s="138">
        <f t="shared" si="58"/>
        <v>393.97678647901779</v>
      </c>
      <c r="Q26" s="138">
        <f t="shared" si="59"/>
        <v>408.97638242147917</v>
      </c>
      <c r="R26" s="138">
        <f t="shared" si="60"/>
        <v>413.4562175844473</v>
      </c>
      <c r="S26" s="138">
        <f t="shared" si="61"/>
        <v>378.78330397874998</v>
      </c>
      <c r="T26" s="138">
        <f t="shared" si="62"/>
        <v>389.07355134135696</v>
      </c>
      <c r="U26" s="138">
        <f t="shared" si="63"/>
        <v>33.821846584520806</v>
      </c>
      <c r="V26" s="138">
        <f t="shared" si="64"/>
        <v>8.6929184643668886</v>
      </c>
      <c r="X26" s="227">
        <f t="shared" si="65"/>
        <v>0.43531041319999997</v>
      </c>
      <c r="Y26" s="227">
        <f t="shared" si="66"/>
        <v>0.47</v>
      </c>
      <c r="Z26" s="227">
        <f t="shared" si="67"/>
        <v>0.43531041319999997</v>
      </c>
      <c r="AA26" s="227">
        <f t="shared" si="68"/>
        <v>0.44687360879999999</v>
      </c>
      <c r="AB26" s="227">
        <f t="shared" si="69"/>
        <v>2.0028042277056891E-2</v>
      </c>
      <c r="AC26" s="227">
        <f t="shared" si="70"/>
        <v>4.4818136230596961</v>
      </c>
      <c r="AE26" s="228">
        <f t="shared" si="71"/>
        <v>4.388992138523613</v>
      </c>
      <c r="AF26" s="228">
        <f t="shared" si="72"/>
        <v>5.2850000000000001</v>
      </c>
      <c r="AG26" s="228">
        <f t="shared" si="73"/>
        <v>4.388992138523613</v>
      </c>
      <c r="AH26" s="228">
        <f t="shared" si="74"/>
        <v>6.8401250118846324</v>
      </c>
      <c r="AI26" s="228">
        <f t="shared" si="75"/>
        <v>5.2850000000000001</v>
      </c>
      <c r="AJ26" s="228">
        <f t="shared" si="76"/>
        <v>5.8047686853136451</v>
      </c>
      <c r="AK26" s="228">
        <f t="shared" si="77"/>
        <v>5.4209757617080383</v>
      </c>
      <c r="AL26" s="228">
        <f t="shared" si="78"/>
        <v>5.3448362479933627</v>
      </c>
      <c r="AM26" s="228">
        <f t="shared" si="79"/>
        <v>0.84534610626175755</v>
      </c>
      <c r="AN26" s="228">
        <f t="shared" si="80"/>
        <v>15.81612732437088</v>
      </c>
      <c r="AP26" s="229">
        <f t="shared" si="81"/>
        <v>1.3839617960803769</v>
      </c>
      <c r="AQ26" s="229">
        <f t="shared" si="82"/>
        <v>1.4</v>
      </c>
      <c r="AR26" s="229">
        <f t="shared" si="83"/>
        <v>1.47</v>
      </c>
      <c r="AS26" s="229">
        <f t="shared" si="84"/>
        <v>1.4887869355071435</v>
      </c>
      <c r="AT26" s="229">
        <f t="shared" si="85"/>
        <v>1.3839617960803769</v>
      </c>
      <c r="AU26" s="229">
        <f t="shared" si="86"/>
        <v>0.42627556776107645</v>
      </c>
      <c r="AV26" s="229">
        <f t="shared" si="87"/>
        <v>1.4</v>
      </c>
      <c r="AW26" s="229">
        <f t="shared" si="88"/>
        <v>1.4499312263458477</v>
      </c>
      <c r="AX26" s="229">
        <f t="shared" si="89"/>
        <v>1.4662552290372002</v>
      </c>
      <c r="AY26" s="229">
        <f t="shared" si="90"/>
        <v>1.3187969500902248</v>
      </c>
      <c r="AZ26" s="229">
        <f t="shared" si="91"/>
        <v>0.33707831114093934</v>
      </c>
      <c r="BA26" s="229">
        <f t="shared" si="92"/>
        <v>25.559530685741905</v>
      </c>
      <c r="BC26" s="230">
        <f t="shared" si="93"/>
        <v>9.65</v>
      </c>
      <c r="BD26" s="230">
        <f t="shared" si="94"/>
        <v>11.73</v>
      </c>
      <c r="BE26" s="230">
        <f t="shared" si="95"/>
        <v>9.65</v>
      </c>
      <c r="BF26" s="230">
        <f t="shared" si="96"/>
        <v>9.1985054645004887</v>
      </c>
      <c r="BG26" s="230">
        <f t="shared" si="97"/>
        <v>10.057126366125122</v>
      </c>
      <c r="BH26" s="230">
        <f t="shared" si="98"/>
        <v>1.1353765606776947</v>
      </c>
      <c r="BI26" s="230">
        <f t="shared" si="99"/>
        <v>11.289274086302848</v>
      </c>
      <c r="BK26" s="227">
        <f t="shared" si="6"/>
        <v>19.600000000000001</v>
      </c>
      <c r="BL26" s="227">
        <f t="shared" si="7"/>
        <v>31.73</v>
      </c>
      <c r="BM26" s="227">
        <f t="shared" si="8"/>
        <v>40.358607736933173</v>
      </c>
      <c r="BN26" s="227">
        <f t="shared" si="9"/>
        <v>22.478767170667346</v>
      </c>
      <c r="BO26" s="227">
        <f t="shared" si="10"/>
        <v>19.600000000000001</v>
      </c>
      <c r="BP26" s="227">
        <f t="shared" si="11"/>
        <v>29.632165024139155</v>
      </c>
      <c r="BQ26" s="227">
        <f t="shared" si="12"/>
        <v>31.86</v>
      </c>
      <c r="BR26" s="227">
        <f t="shared" si="100"/>
        <v>27.894219990248523</v>
      </c>
      <c r="BS26" s="227">
        <f t="shared" si="101"/>
        <v>7.6999711465246001</v>
      </c>
      <c r="BT26" s="227">
        <f t="shared" si="13"/>
        <v>27.604181616178604</v>
      </c>
      <c r="BV26" s="231">
        <f t="shared" si="102"/>
        <v>0.26</v>
      </c>
      <c r="BW26" s="231">
        <f t="shared" si="103"/>
        <v>0.31281383630191434</v>
      </c>
      <c r="BX26" s="231">
        <f t="shared" si="104"/>
        <v>0.31232157306816893</v>
      </c>
      <c r="BY26" s="231">
        <f t="shared" si="105"/>
        <v>0.26</v>
      </c>
      <c r="BZ26" s="231">
        <f t="shared" si="106"/>
        <v>0.3225557758822245</v>
      </c>
      <c r="CA26" s="231">
        <f t="shared" si="107"/>
        <v>0.31633467507372015</v>
      </c>
      <c r="CB26" s="231">
        <f t="shared" si="108"/>
        <v>0.48</v>
      </c>
      <c r="CC26" s="231">
        <f t="shared" si="109"/>
        <v>0.47753549106246501</v>
      </c>
      <c r="CD26" s="231">
        <f t="shared" si="110"/>
        <v>0.34269516892356167</v>
      </c>
      <c r="CE26" s="231">
        <f t="shared" si="111"/>
        <v>8.7527490530982188E-2</v>
      </c>
      <c r="CF26" s="231">
        <f t="shared" si="14"/>
        <v>25.540917546609837</v>
      </c>
      <c r="CH26" s="232">
        <f t="shared" si="112"/>
        <v>1.4732746963775136</v>
      </c>
      <c r="CI26" s="232">
        <f t="shared" si="113"/>
        <v>1.52</v>
      </c>
      <c r="CJ26" s="232">
        <f t="shared" si="114"/>
        <v>2.1</v>
      </c>
      <c r="CK26" s="232">
        <f t="shared" si="115"/>
        <v>1.8942836852138536</v>
      </c>
      <c r="CL26" s="232">
        <f t="shared" si="116"/>
        <v>1.905478472246781</v>
      </c>
      <c r="CM26" s="232">
        <f t="shared" si="117"/>
        <v>1.4732746963775136</v>
      </c>
      <c r="CN26" s="232">
        <f t="shared" si="118"/>
        <v>1.4732746963775136</v>
      </c>
      <c r="CO26" s="232">
        <f t="shared" si="119"/>
        <v>1.7929959008280032</v>
      </c>
      <c r="CP26" s="232">
        <f t="shared" si="120"/>
        <v>1.52</v>
      </c>
      <c r="CQ26" s="232">
        <f t="shared" si="121"/>
        <v>1.4851616815654887</v>
      </c>
      <c r="CR26" s="232">
        <f t="shared" si="122"/>
        <v>1.6637743828986669</v>
      </c>
      <c r="CS26" s="232">
        <f t="shared" si="123"/>
        <v>0.23585810944061983</v>
      </c>
      <c r="CT26" s="232">
        <f t="shared" si="15"/>
        <v>14.176087326798617</v>
      </c>
      <c r="CV26" s="229">
        <f t="shared" si="16"/>
        <v>0.83</v>
      </c>
      <c r="CW26" s="229">
        <f t="shared" si="17"/>
        <v>1.19</v>
      </c>
      <c r="CX26" s="229">
        <f t="shared" si="18"/>
        <v>0.67581683858136909</v>
      </c>
      <c r="CY26" s="229">
        <f t="shared" si="19"/>
        <v>0.54521114714665142</v>
      </c>
      <c r="CZ26" s="229">
        <f t="shared" si="20"/>
        <v>1.1540398268217904</v>
      </c>
      <c r="DA26" s="229">
        <f t="shared" si="21"/>
        <v>0.83</v>
      </c>
      <c r="DB26" s="229">
        <f t="shared" si="22"/>
        <v>0.51869226131191581</v>
      </c>
      <c r="DC26" s="229">
        <f t="shared" si="23"/>
        <v>0.89</v>
      </c>
      <c r="DD26" s="229">
        <f t="shared" si="24"/>
        <v>0.82922000923271577</v>
      </c>
      <c r="DE26" s="229">
        <f t="shared" si="25"/>
        <v>0.25070944720463584</v>
      </c>
      <c r="DF26" s="229">
        <f t="shared" si="26"/>
        <v>30.234370180794283</v>
      </c>
      <c r="DH26" s="234">
        <f t="shared" si="124"/>
        <v>3.2559999999999999E-2</v>
      </c>
      <c r="DI26" s="234">
        <f t="shared" si="125"/>
        <v>4.3999999999999997E-2</v>
      </c>
      <c r="DJ26" s="234">
        <f t="shared" si="126"/>
        <v>0.11377739109278802</v>
      </c>
      <c r="DK26" s="234">
        <f t="shared" si="27"/>
        <v>6.3445797030929341E-2</v>
      </c>
      <c r="DL26" s="234">
        <f t="shared" si="28"/>
        <v>4.3962147588644883E-2</v>
      </c>
      <c r="DM26" s="234">
        <f t="shared" si="29"/>
        <v>69.290874488051074</v>
      </c>
      <c r="DO26" s="229">
        <f t="shared" si="127"/>
        <v>2.38</v>
      </c>
      <c r="DP26" s="229">
        <f t="shared" si="128"/>
        <v>3.49</v>
      </c>
      <c r="DQ26" s="229">
        <f t="shared" si="129"/>
        <v>3.7706213184099058</v>
      </c>
      <c r="DR26" s="229">
        <f t="shared" si="130"/>
        <v>2.9532586970317665</v>
      </c>
      <c r="DS26" s="229">
        <f t="shared" si="131"/>
        <v>2.5690970752997782</v>
      </c>
      <c r="DT26" s="229">
        <f t="shared" si="132"/>
        <v>2.38</v>
      </c>
      <c r="DU26" s="229">
        <f t="shared" si="133"/>
        <v>0.99439999999999995</v>
      </c>
      <c r="DV26" s="229">
        <f t="shared" si="134"/>
        <v>3.2842729770047163</v>
      </c>
      <c r="DW26" s="229">
        <f t="shared" si="30"/>
        <v>2.7277062584682708</v>
      </c>
      <c r="DX26" s="229">
        <f t="shared" si="31"/>
        <v>0.87019790264239294</v>
      </c>
      <c r="DY26" s="229">
        <f t="shared" si="32"/>
        <v>31.902185212972604</v>
      </c>
      <c r="EA26" s="235">
        <f t="shared" si="135"/>
        <v>0.14000000000000001</v>
      </c>
      <c r="EB26" s="235">
        <f t="shared" si="136"/>
        <v>0.20557986502942666</v>
      </c>
      <c r="EC26" s="235">
        <f t="shared" si="137"/>
        <v>0.14000000000000001</v>
      </c>
      <c r="ED26" s="235">
        <f t="shared" si="138"/>
        <v>0.16018437481691516</v>
      </c>
      <c r="EE26" s="235">
        <f t="shared" si="139"/>
        <v>0.14108204909464708</v>
      </c>
      <c r="EF26" s="235">
        <f t="shared" si="140"/>
        <v>0.1573692577881978</v>
      </c>
      <c r="EG26" s="235">
        <f t="shared" si="141"/>
        <v>2.8287996278043508E-2</v>
      </c>
      <c r="EH26" s="235">
        <f t="shared" si="33"/>
        <v>17.975554231892055</v>
      </c>
      <c r="EJ26" s="229">
        <f t="shared" si="142"/>
        <v>7.5426305676856105</v>
      </c>
      <c r="EK26" s="229">
        <f t="shared" si="143"/>
        <v>16.310284487576592</v>
      </c>
      <c r="EL26" s="229">
        <f t="shared" si="144"/>
        <v>6.91</v>
      </c>
      <c r="EM26" s="229">
        <f t="shared" si="145"/>
        <v>14.4</v>
      </c>
      <c r="EN26" s="229">
        <f t="shared" si="146"/>
        <v>15.976236630481988</v>
      </c>
      <c r="EO26" s="229">
        <f t="shared" si="34"/>
        <v>17.949806853532028</v>
      </c>
      <c r="EP26" s="229">
        <f t="shared" si="147"/>
        <v>18.185803259457661</v>
      </c>
      <c r="EQ26" s="229">
        <f t="shared" si="148"/>
        <v>13.896394542676267</v>
      </c>
      <c r="ER26" s="229">
        <f t="shared" si="149"/>
        <v>4.7331355021480954</v>
      </c>
      <c r="ES26" s="229">
        <f t="shared" si="35"/>
        <v>34.060169259101606</v>
      </c>
      <c r="EU26" s="238">
        <f t="shared" si="191"/>
        <v>1.5255654744468113E-2</v>
      </c>
      <c r="EV26" s="238">
        <f t="shared" si="151"/>
        <v>1.5255654744468113E-2</v>
      </c>
      <c r="EW26" s="238" t="e">
        <f t="shared" si="152"/>
        <v>#DIV/0!</v>
      </c>
      <c r="EX26" s="238" t="e">
        <f t="shared" si="36"/>
        <v>#DIV/0!</v>
      </c>
      <c r="EZ26" s="240">
        <f t="shared" si="153"/>
        <v>2.6086790839068914E-2</v>
      </c>
      <c r="FA26" s="240">
        <f t="shared" si="154"/>
        <v>2.6086790839068914E-2</v>
      </c>
      <c r="FB26" s="240" t="e">
        <f t="shared" si="155"/>
        <v>#DIV/0!</v>
      </c>
      <c r="FC26" s="240" t="e">
        <f t="shared" si="37"/>
        <v>#DIV/0!</v>
      </c>
      <c r="FE26" s="236">
        <f t="shared" si="156"/>
        <v>0.9</v>
      </c>
      <c r="FF26" s="236">
        <f t="shared" si="157"/>
        <v>1.2</v>
      </c>
      <c r="FG26" s="236">
        <f t="shared" si="158"/>
        <v>1.2877812888604829</v>
      </c>
      <c r="FH26" s="236">
        <f t="shared" si="159"/>
        <v>1.2585915164186192</v>
      </c>
      <c r="FI26" s="236">
        <f t="shared" si="160"/>
        <v>0.9</v>
      </c>
      <c r="FJ26" s="236">
        <f t="shared" si="161"/>
        <v>1.0678958321127678</v>
      </c>
      <c r="FK26" s="236">
        <f t="shared" si="38"/>
        <v>1.1023781062319784</v>
      </c>
      <c r="FL26" s="236">
        <f t="shared" si="39"/>
        <v>0.17401714098690826</v>
      </c>
      <c r="FM26" s="236">
        <f t="shared" si="40"/>
        <v>15.785612940165656</v>
      </c>
      <c r="FO26" s="227">
        <f t="shared" si="162"/>
        <v>0.3</v>
      </c>
      <c r="FP26" s="227">
        <f t="shared" si="163"/>
        <v>0.32</v>
      </c>
      <c r="FQ26" s="227">
        <f t="shared" si="164"/>
        <v>0.35535752878414373</v>
      </c>
      <c r="FR26" s="227">
        <f t="shared" si="165"/>
        <v>0.3</v>
      </c>
      <c r="FS26" s="227">
        <f t="shared" si="166"/>
        <v>0.34325223175053249</v>
      </c>
      <c r="FT26" s="227">
        <f t="shared" si="41"/>
        <v>0.32372195210693522</v>
      </c>
      <c r="FU26" s="227">
        <f t="shared" si="42"/>
        <v>2.5107551083640284E-2</v>
      </c>
      <c r="FV26" s="227">
        <f t="shared" si="43"/>
        <v>7.7559000618365532</v>
      </c>
      <c r="FX26" s="230">
        <f t="shared" si="167"/>
        <v>2.94</v>
      </c>
      <c r="FY26" s="230">
        <f t="shared" si="168"/>
        <v>1.6018437481691519</v>
      </c>
      <c r="FZ26" s="230">
        <f t="shared" si="169"/>
        <v>2.94</v>
      </c>
      <c r="GA26" s="230">
        <f t="shared" si="170"/>
        <v>3.5789461715967432</v>
      </c>
      <c r="GB26" s="230">
        <f t="shared" si="44"/>
        <v>2.7651974799414738</v>
      </c>
      <c r="GC26" s="230">
        <f t="shared" si="45"/>
        <v>0.83200374206627803</v>
      </c>
      <c r="GD26" s="230">
        <f t="shared" si="46"/>
        <v>30.088402296818511</v>
      </c>
      <c r="GF26" s="231">
        <f t="shared" si="171"/>
        <v>0.06</v>
      </c>
      <c r="GG26" s="231">
        <f t="shared" si="172"/>
        <v>0.05</v>
      </c>
      <c r="GH26" s="231">
        <f t="shared" si="173"/>
        <v>0.06</v>
      </c>
      <c r="GI26" s="231">
        <f t="shared" si="174"/>
        <v>6.102261897787245E-2</v>
      </c>
      <c r="GJ26" s="245">
        <f t="shared" si="187"/>
        <v>5.7755654744468109E-2</v>
      </c>
      <c r="GK26" s="231">
        <f t="shared" si="188"/>
        <v>5.1928607103018803E-3</v>
      </c>
      <c r="GL26" s="231">
        <f t="shared" si="47"/>
        <v>8.9910862118644026</v>
      </c>
      <c r="GN26" s="246">
        <f t="shared" si="175"/>
        <v>0.18</v>
      </c>
      <c r="GO26" s="246">
        <f t="shared" si="176"/>
        <v>0.18</v>
      </c>
      <c r="GP26" s="246">
        <f t="shared" si="177"/>
        <v>0.16018437481691516</v>
      </c>
      <c r="GQ26" s="247">
        <f t="shared" si="189"/>
        <v>0.17339479160563839</v>
      </c>
      <c r="GR26" s="246">
        <f t="shared" si="190"/>
        <v>1.1440556533614752E-2</v>
      </c>
      <c r="GS26" s="246">
        <f t="shared" si="48"/>
        <v>6.5979816508183591</v>
      </c>
      <c r="GU26" s="249">
        <f t="shared" si="178"/>
        <v>2.0900246999921313E-2</v>
      </c>
      <c r="GV26" s="249">
        <f t="shared" si="179"/>
        <v>2.0900246999921313E-2</v>
      </c>
      <c r="GW26" s="249" t="e">
        <f t="shared" si="180"/>
        <v>#DIV/0!</v>
      </c>
      <c r="GX26" s="249" t="e">
        <f t="shared" si="49"/>
        <v>#DIV/0!</v>
      </c>
      <c r="GZ26" s="240">
        <f t="shared" si="181"/>
        <v>2.2883482116702169E-2</v>
      </c>
      <c r="HA26" s="240">
        <f t="shared" si="182"/>
        <v>2.2883482116702169E-2</v>
      </c>
      <c r="HB26" s="240" t="e">
        <f t="shared" si="183"/>
        <v>#DIV/0!</v>
      </c>
      <c r="HC26" s="240" t="e">
        <f t="shared" si="50"/>
        <v>#DIV/0!</v>
      </c>
      <c r="HE26" s="234">
        <f t="shared" si="184"/>
        <v>9.0340945729585245E-2</v>
      </c>
      <c r="HF26" s="251">
        <f t="shared" si="185"/>
        <v>9.0340945729585245E-2</v>
      </c>
      <c r="HG26" s="234" t="e">
        <f t="shared" si="186"/>
        <v>#DIV/0!</v>
      </c>
      <c r="HH26" s="234" t="e">
        <f t="shared" si="51"/>
        <v>#DIV/0!</v>
      </c>
    </row>
    <row r="27" spans="2:216" ht="15.6" x14ac:dyDescent="0.25">
      <c r="B27">
        <v>23</v>
      </c>
      <c r="C27" s="124">
        <f t="shared" si="52"/>
        <v>77.063445861378824</v>
      </c>
      <c r="D27" s="124">
        <f t="shared" si="53"/>
        <v>181.0294778510933</v>
      </c>
      <c r="E27" s="29">
        <f t="shared" si="54"/>
        <v>1.9989944071731465</v>
      </c>
      <c r="F27" s="29">
        <f t="shared" si="0"/>
        <v>1.9730820500689847</v>
      </c>
      <c r="G27" s="29">
        <f t="shared" si="1"/>
        <v>1.9741500511472949</v>
      </c>
      <c r="H27" s="29">
        <f t="shared" si="2"/>
        <v>1.9989944071731465</v>
      </c>
      <c r="I27" s="29">
        <f t="shared" si="3"/>
        <v>1.9685552630808127</v>
      </c>
      <c r="J27" s="125">
        <f t="shared" si="4"/>
        <v>1.9827552357286771</v>
      </c>
      <c r="K27" s="126">
        <f t="shared" si="5"/>
        <v>1.497231047711383E-2</v>
      </c>
      <c r="L27" s="126">
        <f t="shared" si="55"/>
        <v>0.75512651321338697</v>
      </c>
      <c r="N27" s="138">
        <f t="shared" si="56"/>
        <v>416.3785995030222</v>
      </c>
      <c r="O27" s="138">
        <f t="shared" si="57"/>
        <v>325.79239999999999</v>
      </c>
      <c r="P27" s="138">
        <f t="shared" si="58"/>
        <v>395.36489536618075</v>
      </c>
      <c r="Q27" s="138">
        <f t="shared" si="59"/>
        <v>412.17569985275736</v>
      </c>
      <c r="R27" s="138">
        <f t="shared" si="60"/>
        <v>416.3785995030222</v>
      </c>
      <c r="S27" s="138">
        <f t="shared" si="61"/>
        <v>381.22911221366235</v>
      </c>
      <c r="T27" s="138">
        <f t="shared" si="62"/>
        <v>391.21988440644083</v>
      </c>
      <c r="U27" s="138">
        <f t="shared" si="63"/>
        <v>34.936572391296203</v>
      </c>
      <c r="V27" s="138">
        <f t="shared" si="64"/>
        <v>8.930162750879088</v>
      </c>
      <c r="X27" s="227">
        <f t="shared" si="65"/>
        <v>0.43742042305000001</v>
      </c>
      <c r="Y27" s="227">
        <f t="shared" si="66"/>
        <v>0.47</v>
      </c>
      <c r="Z27" s="227">
        <f t="shared" si="67"/>
        <v>0.43742042305000001</v>
      </c>
      <c r="AA27" s="227">
        <f t="shared" si="68"/>
        <v>0.44828028203333337</v>
      </c>
      <c r="AB27" s="227">
        <f t="shared" si="69"/>
        <v>1.8809827522166606E-2</v>
      </c>
      <c r="AC27" s="227">
        <f t="shared" si="70"/>
        <v>4.195997075054918</v>
      </c>
      <c r="AE27" s="228">
        <f t="shared" si="71"/>
        <v>4.4265006578633175</v>
      </c>
      <c r="AF27" s="228">
        <f t="shared" si="72"/>
        <v>5.2850000000000001</v>
      </c>
      <c r="AG27" s="228">
        <f t="shared" si="73"/>
        <v>4.4265006578633175</v>
      </c>
      <c r="AH27" s="228">
        <f t="shared" si="74"/>
        <v>6.9105128219361065</v>
      </c>
      <c r="AI27" s="228">
        <f t="shared" si="75"/>
        <v>5.2850000000000001</v>
      </c>
      <c r="AJ27" s="228">
        <f t="shared" si="76"/>
        <v>5.8645237895010007</v>
      </c>
      <c r="AK27" s="228">
        <f t="shared" si="77"/>
        <v>5.464693334883485</v>
      </c>
      <c r="AL27" s="228">
        <f t="shared" si="78"/>
        <v>5.3803901802924612</v>
      </c>
      <c r="AM27" s="228">
        <f t="shared" si="79"/>
        <v>0.85836828604261584</v>
      </c>
      <c r="AN27" s="228">
        <f t="shared" si="80"/>
        <v>15.953643830268785</v>
      </c>
      <c r="AP27" s="229">
        <f t="shared" ref="AP27:AP84" si="192">10 * (B27 + 0.315)/(9+6.92 * B27)</f>
        <v>1.3864771646051379</v>
      </c>
      <c r="AQ27" s="229">
        <f t="shared" ref="AQ27:AQ84" si="193">IF(B27 &lt; 18, 10 * (B27 + 0.213) / (6.03 + 6.895 * B27), 1.4)</f>
        <v>1.4</v>
      </c>
      <c r="AR27" s="229">
        <f t="shared" ref="AR27:AR84" si="194">IF(B27 &lt; 18,  (-0.0503 * B27*365.25*24 + 0.907 *  (B27*365.25*24)^(0.769) + 0.0395) / 1000, 1.47)</f>
        <v>1.47</v>
      </c>
      <c r="AS27" s="229">
        <f t="shared" ref="AS27:AS84" si="195">0.218096 - 0.00159 * B27 - 0.003274 * C27 + 0.008626 *D27</f>
        <v>1.4907805541933765</v>
      </c>
      <c r="AT27" s="229">
        <f t="shared" ref="AT27:AT84" si="196">10 * (B27 + 0.315)/(9+6.92 * B27)</f>
        <v>1.3864771646051379</v>
      </c>
      <c r="AU27" s="229">
        <f t="shared" ref="AU27:AU84" si="197">(0.1216 - 0.000003456 * C27*1000 + 0.00000000004354 * (C27*1000)^2 - 0.0000000000000002463 * (C27*1000)^3 + 5.132E-22 * (C27*1000)^4) * B27</f>
        <v>0.44207829487661215</v>
      </c>
      <c r="AV27" s="229">
        <f t="shared" ref="AV27:AV84" si="198">IF(B27 &lt; 18, 10 * (B27 + 0.213) / (6.03 + 6.895 * B27), 1.4)</f>
        <v>1.4</v>
      </c>
      <c r="AW27" s="229">
        <f t="shared" ref="AW27:AW84" si="199">1.45 + (0.35 - 1.45) * EXP(-0.44 * B27)</f>
        <v>1.4499557072619149</v>
      </c>
      <c r="AX27" s="229">
        <f t="shared" ref="AX27:AX84" si="200">(0.425 * ((3.68 - 2.68 * EXP(-B27/0.89)) * EXP(-B27/629))) / 1.03</f>
        <v>1.4639259916867366</v>
      </c>
      <c r="AY27" s="229">
        <f t="shared" si="90"/>
        <v>1.3210772085809905</v>
      </c>
      <c r="AZ27" s="229">
        <f t="shared" si="91"/>
        <v>0.33197207683275909</v>
      </c>
      <c r="BA27" s="229">
        <f t="shared" si="92"/>
        <v>25.128892897133582</v>
      </c>
      <c r="BC27" s="230">
        <f t="shared" si="93"/>
        <v>9.65</v>
      </c>
      <c r="BD27" s="230">
        <f t="shared" si="94"/>
        <v>11.73</v>
      </c>
      <c r="BE27" s="230">
        <f t="shared" si="95"/>
        <v>9.65</v>
      </c>
      <c r="BF27" s="230">
        <f t="shared" si="96"/>
        <v>9.19952789594163</v>
      </c>
      <c r="BG27" s="230">
        <f t="shared" si="97"/>
        <v>10.057381973985407</v>
      </c>
      <c r="BH27" s="230">
        <f t="shared" si="98"/>
        <v>1.1351189108960915</v>
      </c>
      <c r="BI27" s="230">
        <f t="shared" si="99"/>
        <v>11.28642537225104</v>
      </c>
      <c r="BK27" s="227">
        <f t="shared" si="6"/>
        <v>19.600000000000001</v>
      </c>
      <c r="BL27" s="227">
        <f t="shared" si="7"/>
        <v>31.73</v>
      </c>
      <c r="BM27" s="227">
        <f t="shared" si="8"/>
        <v>40.644338263628072</v>
      </c>
      <c r="BN27" s="227">
        <f t="shared" si="9"/>
        <v>22.559676901829395</v>
      </c>
      <c r="BO27" s="227">
        <f t="shared" si="10"/>
        <v>19.600000000000001</v>
      </c>
      <c r="BP27" s="227">
        <f t="shared" si="11"/>
        <v>30.026627784700107</v>
      </c>
      <c r="BQ27" s="227">
        <f t="shared" si="12"/>
        <v>31.86</v>
      </c>
      <c r="BR27" s="227">
        <f t="shared" si="100"/>
        <v>28.002948992879656</v>
      </c>
      <c r="BS27" s="227">
        <f t="shared" si="101"/>
        <v>7.7837016134071471</v>
      </c>
      <c r="BT27" s="227">
        <f t="shared" si="13"/>
        <v>27.796006825517978</v>
      </c>
      <c r="BV27" s="231">
        <f t="shared" si="102"/>
        <v>0.26</v>
      </c>
      <c r="BW27" s="231">
        <f t="shared" si="103"/>
        <v>0.31506652396068729</v>
      </c>
      <c r="BX27" s="231">
        <f t="shared" si="104"/>
        <v>0.31457818339517463</v>
      </c>
      <c r="BY27" s="231">
        <f t="shared" si="105"/>
        <v>0.26</v>
      </c>
      <c r="BZ27" s="231">
        <f t="shared" si="106"/>
        <v>0.32544321870189968</v>
      </c>
      <c r="CA27" s="231">
        <f t="shared" si="107"/>
        <v>0.31907681174112362</v>
      </c>
      <c r="CB27" s="231">
        <f t="shared" si="108"/>
        <v>0.48</v>
      </c>
      <c r="CC27" s="231">
        <f t="shared" si="109"/>
        <v>0.48022279270256218</v>
      </c>
      <c r="CD27" s="231">
        <f t="shared" si="110"/>
        <v>0.34429844131268089</v>
      </c>
      <c r="CE27" s="231">
        <f t="shared" si="111"/>
        <v>8.769447407833203E-2</v>
      </c>
      <c r="CF27" s="231">
        <f t="shared" si="14"/>
        <v>25.470482452370646</v>
      </c>
      <c r="CH27" s="232">
        <f t="shared" si="112"/>
        <v>1.4758479060373444</v>
      </c>
      <c r="CI27" s="232">
        <f t="shared" si="113"/>
        <v>1.52</v>
      </c>
      <c r="CJ27" s="232">
        <f t="shared" si="114"/>
        <v>2.1</v>
      </c>
      <c r="CK27" s="232">
        <f t="shared" si="115"/>
        <v>1.9117620080390427</v>
      </c>
      <c r="CL27" s="232">
        <f t="shared" si="116"/>
        <v>1.9217806203908085</v>
      </c>
      <c r="CM27" s="232">
        <f t="shared" si="117"/>
        <v>1.4850902039198359</v>
      </c>
      <c r="CN27" s="232">
        <f t="shared" si="118"/>
        <v>1.4787392800922092</v>
      </c>
      <c r="CO27" s="232">
        <f t="shared" si="119"/>
        <v>1.8107621537939182</v>
      </c>
      <c r="CP27" s="232">
        <f t="shared" si="120"/>
        <v>1.52</v>
      </c>
      <c r="CQ27" s="232">
        <f t="shared" si="121"/>
        <v>1.4957368817992653</v>
      </c>
      <c r="CR27" s="232">
        <f t="shared" si="122"/>
        <v>1.6719719054072424</v>
      </c>
      <c r="CS27" s="232">
        <f t="shared" si="123"/>
        <v>0.23812984664953785</v>
      </c>
      <c r="CT27" s="232">
        <f t="shared" si="15"/>
        <v>14.242455024478209</v>
      </c>
      <c r="CV27" s="229">
        <f t="shared" si="16"/>
        <v>0.83</v>
      </c>
      <c r="CW27" s="229">
        <f t="shared" si="17"/>
        <v>1.19</v>
      </c>
      <c r="CX27" s="229">
        <f t="shared" si="18"/>
        <v>0.68572412152062046</v>
      </c>
      <c r="CY27" s="229">
        <f t="shared" si="19"/>
        <v>0.54794917297016055</v>
      </c>
      <c r="CZ27" s="229">
        <f t="shared" si="20"/>
        <v>1.1631658447162967</v>
      </c>
      <c r="DA27" s="229">
        <f t="shared" si="21"/>
        <v>0.83</v>
      </c>
      <c r="DB27" s="229">
        <f t="shared" si="22"/>
        <v>0.524031431857376</v>
      </c>
      <c r="DC27" s="229">
        <f t="shared" si="23"/>
        <v>0.89</v>
      </c>
      <c r="DD27" s="229">
        <f t="shared" si="24"/>
        <v>0.83260882138305659</v>
      </c>
      <c r="DE27" s="229">
        <f t="shared" si="25"/>
        <v>0.25017993391155113</v>
      </c>
      <c r="DF27" s="229">
        <f t="shared" si="26"/>
        <v>30.047715984557339</v>
      </c>
      <c r="DH27" s="234">
        <f t="shared" si="124"/>
        <v>3.4040000000000001E-2</v>
      </c>
      <c r="DI27" s="234">
        <f t="shared" si="125"/>
        <v>4.5999999999999999E-2</v>
      </c>
      <c r="DJ27" s="234">
        <f t="shared" si="126"/>
        <v>0.11482085823764149</v>
      </c>
      <c r="DK27" s="234">
        <f t="shared" si="27"/>
        <v>6.4953619412547167E-2</v>
      </c>
      <c r="DL27" s="234">
        <f t="shared" si="28"/>
        <v>4.3598354682593772E-2</v>
      </c>
      <c r="DM27" s="234">
        <f t="shared" si="29"/>
        <v>67.122286759237653</v>
      </c>
      <c r="DO27" s="229">
        <f t="shared" si="127"/>
        <v>2.38</v>
      </c>
      <c r="DP27" s="229">
        <f t="shared" si="128"/>
        <v>3.49</v>
      </c>
      <c r="DQ27" s="229">
        <f t="shared" si="129"/>
        <v>3.7973282786874094</v>
      </c>
      <c r="DR27" s="229">
        <f t="shared" si="130"/>
        <v>2.9741328535930158</v>
      </c>
      <c r="DS27" s="229">
        <f t="shared" si="131"/>
        <v>2.5893120715445521</v>
      </c>
      <c r="DT27" s="229">
        <f t="shared" si="132"/>
        <v>2.38</v>
      </c>
      <c r="DU27" s="229">
        <f t="shared" si="133"/>
        <v>1.0395999999999999</v>
      </c>
      <c r="DV27" s="229">
        <f t="shared" si="134"/>
        <v>3.3600898767023168</v>
      </c>
      <c r="DW27" s="229">
        <f t="shared" si="30"/>
        <v>2.7513078850659118</v>
      </c>
      <c r="DX27" s="229">
        <f t="shared" si="31"/>
        <v>0.86948398513940162</v>
      </c>
      <c r="DY27" s="229">
        <f t="shared" si="32"/>
        <v>31.602569449204765</v>
      </c>
      <c r="EA27" s="235">
        <f t="shared" si="135"/>
        <v>0.14000000000000001</v>
      </c>
      <c r="EB27" s="235">
        <f t="shared" si="136"/>
        <v>0.20735897607517673</v>
      </c>
      <c r="EC27" s="235">
        <f t="shared" si="137"/>
        <v>0.14000000000000001</v>
      </c>
      <c r="ED27" s="235">
        <f t="shared" si="138"/>
        <v>0.16183323630889551</v>
      </c>
      <c r="EE27" s="235">
        <f t="shared" si="139"/>
        <v>0.14227178974106799</v>
      </c>
      <c r="EF27" s="235">
        <f t="shared" si="140"/>
        <v>0.15829280042502808</v>
      </c>
      <c r="EG27" s="235">
        <f t="shared" si="141"/>
        <v>2.8922094310813481E-2</v>
      </c>
      <c r="EH27" s="235">
        <f t="shared" si="33"/>
        <v>18.271263274864985</v>
      </c>
      <c r="EJ27" s="229">
        <f t="shared" si="142"/>
        <v>7.5426305676856105</v>
      </c>
      <c r="EK27" s="229">
        <f t="shared" si="143"/>
        <v>16.073496699172825</v>
      </c>
      <c r="EL27" s="229">
        <f t="shared" si="144"/>
        <v>6.91</v>
      </c>
      <c r="EM27" s="229">
        <f t="shared" si="145"/>
        <v>14.4</v>
      </c>
      <c r="EN27" s="229">
        <f t="shared" si="146"/>
        <v>16.317249748544608</v>
      </c>
      <c r="EO27" s="229">
        <f t="shared" si="34"/>
        <v>18.205787131343484</v>
      </c>
      <c r="EP27" s="229">
        <f t="shared" si="147"/>
        <v>18.704133061581246</v>
      </c>
      <c r="EQ27" s="229">
        <f t="shared" si="148"/>
        <v>14.021899601189682</v>
      </c>
      <c r="ER27" s="229">
        <f t="shared" si="149"/>
        <v>4.8581359774353317</v>
      </c>
      <c r="ES27" s="229">
        <f t="shared" si="35"/>
        <v>34.646774799493961</v>
      </c>
      <c r="EU27" s="238">
        <f t="shared" si="191"/>
        <v>1.5412689172275765E-2</v>
      </c>
      <c r="EV27" s="238">
        <f t="shared" si="151"/>
        <v>1.5412689172275765E-2</v>
      </c>
      <c r="EW27" s="238" t="e">
        <f t="shared" si="152"/>
        <v>#DIV/0!</v>
      </c>
      <c r="EX27" s="238" t="e">
        <f t="shared" si="36"/>
        <v>#DIV/0!</v>
      </c>
      <c r="EZ27" s="240">
        <f t="shared" si="153"/>
        <v>2.6355605986171753E-2</v>
      </c>
      <c r="FA27" s="240">
        <f t="shared" si="154"/>
        <v>2.6355605986171753E-2</v>
      </c>
      <c r="FB27" s="240" t="e">
        <f t="shared" si="155"/>
        <v>#DIV/0!</v>
      </c>
      <c r="FC27" s="240" t="e">
        <f t="shared" si="37"/>
        <v>#DIV/0!</v>
      </c>
      <c r="FE27" s="236">
        <f t="shared" si="156"/>
        <v>0.9</v>
      </c>
      <c r="FF27" s="236">
        <f t="shared" si="157"/>
        <v>1.2</v>
      </c>
      <c r="FG27" s="236">
        <f t="shared" si="158"/>
        <v>1.3011950298467079</v>
      </c>
      <c r="FH27" s="236">
        <f t="shared" si="159"/>
        <v>1.2715468567127506</v>
      </c>
      <c r="FI27" s="236">
        <f t="shared" si="160"/>
        <v>0.9</v>
      </c>
      <c r="FJ27" s="236">
        <f t="shared" si="161"/>
        <v>1.0788882420593036</v>
      </c>
      <c r="FK27" s="236">
        <f t="shared" si="38"/>
        <v>1.1086050214364602</v>
      </c>
      <c r="FL27" s="236">
        <f t="shared" si="39"/>
        <v>0.17883466780401322</v>
      </c>
      <c r="FM27" s="236">
        <f t="shared" si="40"/>
        <v>16.131504399311719</v>
      </c>
      <c r="FO27" s="227">
        <f t="shared" si="162"/>
        <v>0.3</v>
      </c>
      <c r="FP27" s="227">
        <f t="shared" si="163"/>
        <v>0.32</v>
      </c>
      <c r="FQ27" s="227">
        <f t="shared" si="164"/>
        <v>0.35868619353924697</v>
      </c>
      <c r="FR27" s="227">
        <f t="shared" si="165"/>
        <v>0.3</v>
      </c>
      <c r="FS27" s="227">
        <f t="shared" si="166"/>
        <v>0.3467855063762047</v>
      </c>
      <c r="FT27" s="227">
        <f t="shared" si="41"/>
        <v>0.32509433998309034</v>
      </c>
      <c r="FU27" s="227">
        <f t="shared" si="42"/>
        <v>2.685294873505149E-2</v>
      </c>
      <c r="FV27" s="227">
        <f t="shared" si="43"/>
        <v>8.2600480637245894</v>
      </c>
      <c r="FX27" s="230">
        <f t="shared" si="167"/>
        <v>2.94</v>
      </c>
      <c r="FY27" s="230">
        <f t="shared" si="168"/>
        <v>1.6183323630889555</v>
      </c>
      <c r="FZ27" s="230">
        <f t="shared" si="169"/>
        <v>2.94</v>
      </c>
      <c r="GA27" s="230">
        <f t="shared" si="170"/>
        <v>3.6409385617388441</v>
      </c>
      <c r="GB27" s="230">
        <f t="shared" si="44"/>
        <v>2.78481773120695</v>
      </c>
      <c r="GC27" s="230">
        <f t="shared" si="45"/>
        <v>0.84494458666421923</v>
      </c>
      <c r="GD27" s="230">
        <f t="shared" si="46"/>
        <v>30.341109121637817</v>
      </c>
      <c r="GF27" s="231">
        <f t="shared" si="171"/>
        <v>0.06</v>
      </c>
      <c r="GG27" s="231">
        <f t="shared" si="172"/>
        <v>0.05</v>
      </c>
      <c r="GH27" s="231">
        <f t="shared" si="173"/>
        <v>0.06</v>
      </c>
      <c r="GI27" s="231">
        <f t="shared" si="174"/>
        <v>6.165075668910306E-2</v>
      </c>
      <c r="GJ27" s="245">
        <f t="shared" si="187"/>
        <v>5.7912689172275759E-2</v>
      </c>
      <c r="GK27" s="231">
        <f t="shared" si="188"/>
        <v>5.3322144143085337E-3</v>
      </c>
      <c r="GL27" s="231">
        <f t="shared" si="47"/>
        <v>9.2073334713339428</v>
      </c>
      <c r="GN27" s="246">
        <f t="shared" si="175"/>
        <v>0.18</v>
      </c>
      <c r="GO27" s="246">
        <f t="shared" si="176"/>
        <v>0.18</v>
      </c>
      <c r="GP27" s="246">
        <f t="shared" si="177"/>
        <v>0.16183323630889551</v>
      </c>
      <c r="GQ27" s="247">
        <f t="shared" si="189"/>
        <v>0.17394441210296518</v>
      </c>
      <c r="GR27" s="246">
        <f t="shared" si="190"/>
        <v>1.0488585907363492E-2</v>
      </c>
      <c r="GS27" s="246">
        <f t="shared" si="48"/>
        <v>6.029849295276497</v>
      </c>
      <c r="GU27" s="249">
        <f t="shared" si="178"/>
        <v>2.1115384166017798E-2</v>
      </c>
      <c r="GV27" s="249">
        <f t="shared" si="179"/>
        <v>2.1115384166017798E-2</v>
      </c>
      <c r="GW27" s="249" t="e">
        <f t="shared" si="180"/>
        <v>#DIV/0!</v>
      </c>
      <c r="GX27" s="249" t="e">
        <f t="shared" si="49"/>
        <v>#DIV/0!</v>
      </c>
      <c r="GZ27" s="240">
        <f t="shared" si="181"/>
        <v>2.3119033758413648E-2</v>
      </c>
      <c r="HA27" s="240">
        <f t="shared" si="182"/>
        <v>2.3119033758413648E-2</v>
      </c>
      <c r="HB27" s="240" t="e">
        <f t="shared" si="183"/>
        <v>#DIV/0!</v>
      </c>
      <c r="HC27" s="240" t="e">
        <f t="shared" si="50"/>
        <v>#DIV/0!</v>
      </c>
      <c r="HE27" s="234">
        <f t="shared" si="184"/>
        <v>9.1275300575040783E-2</v>
      </c>
      <c r="HF27" s="251">
        <f t="shared" si="185"/>
        <v>9.1275300575040783E-2</v>
      </c>
      <c r="HG27" s="234" t="e">
        <f t="shared" si="186"/>
        <v>#DIV/0!</v>
      </c>
      <c r="HH27" s="234" t="e">
        <f t="shared" si="51"/>
        <v>#DIV/0!</v>
      </c>
    </row>
    <row r="28" spans="2:216" ht="15.6" x14ac:dyDescent="0.25">
      <c r="B28">
        <v>24</v>
      </c>
      <c r="C28" s="124">
        <f t="shared" si="52"/>
        <v>77.597310596423071</v>
      </c>
      <c r="D28" s="124">
        <f t="shared" si="53"/>
        <v>181.49999933161752</v>
      </c>
      <c r="E28" s="29">
        <f t="shared" si="54"/>
        <v>2.0083719385912362</v>
      </c>
      <c r="F28" s="29">
        <f t="shared" si="0"/>
        <v>1.9826073567103994</v>
      </c>
      <c r="G28" s="29">
        <f t="shared" si="1"/>
        <v>1.983352867897509</v>
      </c>
      <c r="H28" s="29">
        <f t="shared" si="2"/>
        <v>2.0083719385912362</v>
      </c>
      <c r="I28" s="29">
        <f t="shared" si="3"/>
        <v>1.977927634713365</v>
      </c>
      <c r="J28" s="125">
        <f t="shared" si="4"/>
        <v>1.9921263473007493</v>
      </c>
      <c r="K28" s="126">
        <f t="shared" si="5"/>
        <v>1.4975204794864114E-2</v>
      </c>
      <c r="L28" s="126">
        <f t="shared" si="55"/>
        <v>0.75171962938770986</v>
      </c>
      <c r="N28" s="138">
        <f t="shared" si="56"/>
        <v>418.34653293315733</v>
      </c>
      <c r="O28" s="138">
        <f t="shared" si="57"/>
        <v>325.79239999999999</v>
      </c>
      <c r="P28" s="138">
        <f t="shared" si="58"/>
        <v>395.7772592012314</v>
      </c>
      <c r="Q28" s="138">
        <f t="shared" si="59"/>
        <v>414.3465706396359</v>
      </c>
      <c r="R28" s="138">
        <f t="shared" si="60"/>
        <v>418.34653293315733</v>
      </c>
      <c r="S28" s="138">
        <f t="shared" si="61"/>
        <v>383.37183132385366</v>
      </c>
      <c r="T28" s="138">
        <f t="shared" si="62"/>
        <v>392.66352117183925</v>
      </c>
      <c r="U28" s="138">
        <f t="shared" si="63"/>
        <v>35.65716346545971</v>
      </c>
      <c r="V28" s="138">
        <f t="shared" si="64"/>
        <v>9.0808444235020378</v>
      </c>
      <c r="X28" s="227">
        <f t="shared" si="65"/>
        <v>0.43934139360000002</v>
      </c>
      <c r="Y28" s="227">
        <f t="shared" si="66"/>
        <v>0.47</v>
      </c>
      <c r="Z28" s="227">
        <f t="shared" si="67"/>
        <v>0.43934139360000002</v>
      </c>
      <c r="AA28" s="227">
        <f t="shared" si="68"/>
        <v>0.44956092906666667</v>
      </c>
      <c r="AB28" s="227">
        <f t="shared" si="69"/>
        <v>1.7700754658018757E-2</v>
      </c>
      <c r="AC28" s="227">
        <f t="shared" si="70"/>
        <v>3.9373427523533433</v>
      </c>
      <c r="AE28" s="228">
        <f t="shared" si="71"/>
        <v>4.4517898366036555</v>
      </c>
      <c r="AF28" s="228">
        <f t="shared" si="72"/>
        <v>5.2850000000000001</v>
      </c>
      <c r="AG28" s="228">
        <f t="shared" si="73"/>
        <v>4.4517898366036555</v>
      </c>
      <c r="AH28" s="228">
        <f t="shared" si="74"/>
        <v>6.9583715961599761</v>
      </c>
      <c r="AI28" s="228">
        <f t="shared" si="75"/>
        <v>5.2850000000000001</v>
      </c>
      <c r="AJ28" s="228">
        <f t="shared" si="76"/>
        <v>5.9051528627695866</v>
      </c>
      <c r="AK28" s="228">
        <f t="shared" si="77"/>
        <v>5.4941327702938629</v>
      </c>
      <c r="AL28" s="228">
        <f t="shared" si="78"/>
        <v>5.4044624146329614</v>
      </c>
      <c r="AM28" s="228">
        <f t="shared" si="79"/>
        <v>0.86766718474035331</v>
      </c>
      <c r="AN28" s="228">
        <f t="shared" si="80"/>
        <v>16.054643703156923</v>
      </c>
      <c r="AP28" s="229">
        <f t="shared" si="192"/>
        <v>1.3887936943111723</v>
      </c>
      <c r="AQ28" s="229">
        <f t="shared" si="193"/>
        <v>1.4</v>
      </c>
      <c r="AR28" s="229">
        <f t="shared" si="194"/>
        <v>1.47</v>
      </c>
      <c r="AS28" s="229">
        <f t="shared" si="195"/>
        <v>1.4915013993418436</v>
      </c>
      <c r="AT28" s="229">
        <f t="shared" si="196"/>
        <v>1.3887936943111723</v>
      </c>
      <c r="AU28" s="229">
        <f t="shared" si="197"/>
        <v>0.45884668231058606</v>
      </c>
      <c r="AV28" s="229">
        <f t="shared" si="198"/>
        <v>1.4</v>
      </c>
      <c r="AW28" s="229">
        <f t="shared" si="199"/>
        <v>1.4499714738634837</v>
      </c>
      <c r="AX28" s="229">
        <f t="shared" si="200"/>
        <v>1.4616004544653183</v>
      </c>
      <c r="AY28" s="229">
        <f t="shared" si="90"/>
        <v>1.3232785998448415</v>
      </c>
      <c r="AZ28" s="229">
        <f t="shared" si="91"/>
        <v>0.32646007433302687</v>
      </c>
      <c r="BA28" s="229">
        <f t="shared" si="92"/>
        <v>24.670547409389478</v>
      </c>
      <c r="BC28" s="230">
        <f t="shared" si="93"/>
        <v>9.65</v>
      </c>
      <c r="BD28" s="230">
        <f t="shared" si="94"/>
        <v>11.73</v>
      </c>
      <c r="BE28" s="230">
        <f t="shared" si="95"/>
        <v>9.65</v>
      </c>
      <c r="BF28" s="230">
        <f t="shared" si="96"/>
        <v>9.1999041092670168</v>
      </c>
      <c r="BG28" s="230">
        <f t="shared" si="97"/>
        <v>10.057476027316754</v>
      </c>
      <c r="BH28" s="230">
        <f t="shared" si="98"/>
        <v>1.1350241494498903</v>
      </c>
      <c r="BI28" s="230">
        <f t="shared" si="99"/>
        <v>11.285377627220699</v>
      </c>
      <c r="BK28" s="227">
        <f t="shared" si="6"/>
        <v>19.600000000000001</v>
      </c>
      <c r="BL28" s="227">
        <f t="shared" si="7"/>
        <v>31.73</v>
      </c>
      <c r="BM28" s="227">
        <f t="shared" si="8"/>
        <v>40.83548121234378</v>
      </c>
      <c r="BN28" s="227">
        <f t="shared" si="9"/>
        <v>22.613421830668511</v>
      </c>
      <c r="BO28" s="227">
        <f t="shared" si="10"/>
        <v>19.600000000000001</v>
      </c>
      <c r="BP28" s="227">
        <f t="shared" si="11"/>
        <v>30.312859030165768</v>
      </c>
      <c r="BQ28" s="227">
        <f t="shared" si="12"/>
        <v>31.86</v>
      </c>
      <c r="BR28" s="227">
        <f t="shared" si="100"/>
        <v>28.078823153311152</v>
      </c>
      <c r="BS28" s="227">
        <f t="shared" si="101"/>
        <v>7.8422268052903039</v>
      </c>
      <c r="BT28" s="227">
        <f t="shared" si="13"/>
        <v>27.929328670477137</v>
      </c>
      <c r="BV28" s="231">
        <f t="shared" si="102"/>
        <v>0.26</v>
      </c>
      <c r="BW28" s="231">
        <f t="shared" si="103"/>
        <v>0.31643938439807717</v>
      </c>
      <c r="BX28" s="231">
        <f t="shared" si="104"/>
        <v>0.316119571821526</v>
      </c>
      <c r="BY28" s="231">
        <f t="shared" si="105"/>
        <v>0.26</v>
      </c>
      <c r="BZ28" s="231">
        <f t="shared" si="106"/>
        <v>0.32734732888202112</v>
      </c>
      <c r="CA28" s="231">
        <f t="shared" si="107"/>
        <v>0.3209186628020233</v>
      </c>
      <c r="CB28" s="231">
        <f t="shared" si="108"/>
        <v>0.48</v>
      </c>
      <c r="CC28" s="231">
        <f t="shared" si="109"/>
        <v>0.48198630459789121</v>
      </c>
      <c r="CD28" s="231">
        <f t="shared" si="110"/>
        <v>0.34535140656269236</v>
      </c>
      <c r="CE28" s="231">
        <f t="shared" si="111"/>
        <v>8.7815207964535888E-2</v>
      </c>
      <c r="CF28" s="231">
        <f t="shared" si="14"/>
        <v>25.427783496979796</v>
      </c>
      <c r="CH28" s="232">
        <f t="shared" si="112"/>
        <v>1.4841686462288963</v>
      </c>
      <c r="CI28" s="232">
        <f t="shared" si="113"/>
        <v>1.52</v>
      </c>
      <c r="CJ28" s="232">
        <f t="shared" si="114"/>
        <v>2.1</v>
      </c>
      <c r="CK28" s="232">
        <f t="shared" si="115"/>
        <v>1.9233699160855739</v>
      </c>
      <c r="CL28" s="232">
        <f t="shared" si="116"/>
        <v>1.9314334008018175</v>
      </c>
      <c r="CM28" s="232">
        <f t="shared" si="117"/>
        <v>1.4931088325629971</v>
      </c>
      <c r="CN28" s="232">
        <f t="shared" si="118"/>
        <v>1.4870763216737681</v>
      </c>
      <c r="CO28" s="232">
        <f t="shared" si="119"/>
        <v>1.8228166854244825</v>
      </c>
      <c r="CP28" s="232">
        <f t="shared" si="120"/>
        <v>1.52</v>
      </c>
      <c r="CQ28" s="232">
        <f t="shared" si="121"/>
        <v>1.5028472004307305</v>
      </c>
      <c r="CR28" s="232">
        <f t="shared" si="122"/>
        <v>1.6784821003208266</v>
      </c>
      <c r="CS28" s="232">
        <f t="shared" si="123"/>
        <v>0.23858427911687907</v>
      </c>
      <c r="CT28" s="232">
        <f t="shared" si="15"/>
        <v>14.214287961204702</v>
      </c>
      <c r="CV28" s="229">
        <f t="shared" si="16"/>
        <v>0.83</v>
      </c>
      <c r="CW28" s="229">
        <f t="shared" si="17"/>
        <v>1.19</v>
      </c>
      <c r="CX28" s="229">
        <f t="shared" si="18"/>
        <v>0.69286780385672508</v>
      </c>
      <c r="CY28" s="229">
        <f t="shared" si="19"/>
        <v>0.54974407715612328</v>
      </c>
      <c r="CZ28" s="229">
        <f t="shared" si="20"/>
        <v>1.1693388882566715</v>
      </c>
      <c r="DA28" s="229">
        <f t="shared" si="21"/>
        <v>0.83</v>
      </c>
      <c r="DB28" s="229">
        <f t="shared" si="22"/>
        <v>0.5276617120556768</v>
      </c>
      <c r="DC28" s="229">
        <f t="shared" si="23"/>
        <v>0.89</v>
      </c>
      <c r="DD28" s="229">
        <f t="shared" si="24"/>
        <v>0.83495156016564953</v>
      </c>
      <c r="DE28" s="229">
        <f t="shared" si="25"/>
        <v>0.24983188615087806</v>
      </c>
      <c r="DF28" s="229">
        <f t="shared" si="26"/>
        <v>29.921722177668954</v>
      </c>
      <c r="DH28" s="234">
        <f t="shared" si="124"/>
        <v>3.5519999999999996E-2</v>
      </c>
      <c r="DI28" s="234">
        <f t="shared" si="125"/>
        <v>4.8000000000000001E-2</v>
      </c>
      <c r="DJ28" s="234">
        <f t="shared" si="126"/>
        <v>0.11552194180140317</v>
      </c>
      <c r="DK28" s="234">
        <f t="shared" si="27"/>
        <v>6.6347313933801055E-2</v>
      </c>
      <c r="DL28" s="234">
        <f t="shared" si="28"/>
        <v>4.3041208387286985E-2</v>
      </c>
      <c r="DM28" s="234">
        <f t="shared" si="29"/>
        <v>64.872571073837207</v>
      </c>
      <c r="DO28" s="229">
        <f t="shared" si="127"/>
        <v>2.38</v>
      </c>
      <c r="DP28" s="229">
        <f t="shared" si="128"/>
        <v>3.49</v>
      </c>
      <c r="DQ28" s="229">
        <f t="shared" si="129"/>
        <v>3.8153129887465291</v>
      </c>
      <c r="DR28" s="229">
        <f t="shared" si="130"/>
        <v>2.9881895209511238</v>
      </c>
      <c r="DS28" s="229">
        <f t="shared" si="131"/>
        <v>2.603140075355634</v>
      </c>
      <c r="DT28" s="229">
        <f t="shared" si="132"/>
        <v>2.38</v>
      </c>
      <c r="DU28" s="229">
        <f t="shared" si="133"/>
        <v>1.0848</v>
      </c>
      <c r="DV28" s="229">
        <f t="shared" si="134"/>
        <v>3.4121286893665248</v>
      </c>
      <c r="DW28" s="229">
        <f t="shared" si="30"/>
        <v>2.7691964093024768</v>
      </c>
      <c r="DX28" s="229">
        <f t="shared" si="31"/>
        <v>0.86544383935897995</v>
      </c>
      <c r="DY28" s="229">
        <f t="shared" si="32"/>
        <v>31.252526417112232</v>
      </c>
      <c r="EA28" s="235">
        <f t="shared" si="135"/>
        <v>0.14000000000000001</v>
      </c>
      <c r="EB28" s="235">
        <f t="shared" si="136"/>
        <v>0.20856473071312653</v>
      </c>
      <c r="EC28" s="235">
        <f t="shared" si="137"/>
        <v>0.14000000000000001</v>
      </c>
      <c r="ED28" s="235">
        <f t="shared" si="138"/>
        <v>0.16295435225248844</v>
      </c>
      <c r="EE28" s="235">
        <f t="shared" si="139"/>
        <v>0.14307115138504392</v>
      </c>
      <c r="EF28" s="235">
        <f t="shared" si="140"/>
        <v>0.15891804687013178</v>
      </c>
      <c r="EG28" s="235">
        <f t="shared" si="141"/>
        <v>2.9359811260557526E-2</v>
      </c>
      <c r="EH28" s="235">
        <f t="shared" si="33"/>
        <v>18.47481254570819</v>
      </c>
      <c r="EJ28" s="229">
        <f t="shared" si="142"/>
        <v>7.5426305676856105</v>
      </c>
      <c r="EK28" s="229">
        <f t="shared" si="143"/>
        <v>15.793697546678759</v>
      </c>
      <c r="EL28" s="229">
        <f t="shared" si="144"/>
        <v>6.91</v>
      </c>
      <c r="EM28" s="229">
        <f t="shared" si="145"/>
        <v>14.4</v>
      </c>
      <c r="EN28" s="229">
        <f t="shared" si="146"/>
        <v>16.623909754134218</v>
      </c>
      <c r="EO28" s="229">
        <f t="shared" si="34"/>
        <v>18.405100194508005</v>
      </c>
      <c r="EP28" s="229">
        <f t="shared" si="147"/>
        <v>19.060862104612482</v>
      </c>
      <c r="EQ28" s="229">
        <f t="shared" si="148"/>
        <v>14.105171452517011</v>
      </c>
      <c r="ER28" s="229">
        <f t="shared" si="149"/>
        <v>4.9525713691101236</v>
      </c>
      <c r="ES28" s="229">
        <f t="shared" si="35"/>
        <v>35.111741716732958</v>
      </c>
      <c r="EU28" s="238">
        <f t="shared" si="191"/>
        <v>1.5519462119284615E-2</v>
      </c>
      <c r="EV28" s="238">
        <f t="shared" si="151"/>
        <v>1.5519462119284615E-2</v>
      </c>
      <c r="EW28" s="238" t="e">
        <f t="shared" si="152"/>
        <v>#DIV/0!</v>
      </c>
      <c r="EX28" s="238" t="e">
        <f t="shared" si="36"/>
        <v>#DIV/0!</v>
      </c>
      <c r="EZ28" s="240">
        <f t="shared" si="153"/>
        <v>2.6538257710863745E-2</v>
      </c>
      <c r="FA28" s="240">
        <f t="shared" si="154"/>
        <v>2.6538257710863745E-2</v>
      </c>
      <c r="FB28" s="240" t="e">
        <f t="shared" si="155"/>
        <v>#DIV/0!</v>
      </c>
      <c r="FC28" s="240" t="e">
        <f t="shared" si="37"/>
        <v>#DIV/0!</v>
      </c>
      <c r="FE28" s="236">
        <f t="shared" si="156"/>
        <v>0.9</v>
      </c>
      <c r="FF28" s="236">
        <f t="shared" si="157"/>
        <v>1.2</v>
      </c>
      <c r="FG28" s="236">
        <f t="shared" si="158"/>
        <v>1.3103660289251173</v>
      </c>
      <c r="FH28" s="236">
        <f t="shared" si="159"/>
        <v>1.2803556248409806</v>
      </c>
      <c r="FI28" s="236">
        <f t="shared" si="160"/>
        <v>0.9</v>
      </c>
      <c r="FJ28" s="236">
        <f t="shared" si="161"/>
        <v>1.086362348349923</v>
      </c>
      <c r="FK28" s="236">
        <f t="shared" si="38"/>
        <v>1.1128473336860036</v>
      </c>
      <c r="FL28" s="236">
        <f t="shared" si="39"/>
        <v>0.18219642103125583</v>
      </c>
      <c r="FM28" s="236">
        <f t="shared" si="40"/>
        <v>16.372094852200419</v>
      </c>
      <c r="FO28" s="227">
        <f t="shared" si="162"/>
        <v>0.3</v>
      </c>
      <c r="FP28" s="227">
        <f t="shared" si="163"/>
        <v>0.32</v>
      </c>
      <c r="FQ28" s="227">
        <f t="shared" si="164"/>
        <v>0.3609251640734536</v>
      </c>
      <c r="FR28" s="227">
        <f t="shared" si="165"/>
        <v>0.3</v>
      </c>
      <c r="FS28" s="227">
        <f t="shared" si="166"/>
        <v>0.34918789768390379</v>
      </c>
      <c r="FT28" s="227">
        <f t="shared" si="41"/>
        <v>0.32602261235147145</v>
      </c>
      <c r="FU28" s="227">
        <f t="shared" si="42"/>
        <v>2.8042125133291212E-2</v>
      </c>
      <c r="FV28" s="227">
        <f t="shared" si="43"/>
        <v>8.6012822641455813</v>
      </c>
      <c r="FX28" s="230">
        <f t="shared" si="167"/>
        <v>2.94</v>
      </c>
      <c r="FY28" s="230">
        <f t="shared" si="168"/>
        <v>1.6295435225248847</v>
      </c>
      <c r="FZ28" s="230">
        <f t="shared" si="169"/>
        <v>2.94</v>
      </c>
      <c r="GA28" s="230">
        <f t="shared" si="170"/>
        <v>3.6888046942535961</v>
      </c>
      <c r="GB28" s="230">
        <f t="shared" si="44"/>
        <v>2.7995870541946202</v>
      </c>
      <c r="GC28" s="230">
        <f t="shared" si="45"/>
        <v>0.85618173072732795</v>
      </c>
      <c r="GD28" s="230">
        <f t="shared" si="46"/>
        <v>30.582429270935197</v>
      </c>
      <c r="GF28" s="231">
        <f t="shared" si="171"/>
        <v>0.06</v>
      </c>
      <c r="GG28" s="231">
        <f t="shared" si="172"/>
        <v>0.05</v>
      </c>
      <c r="GH28" s="231">
        <f t="shared" si="173"/>
        <v>0.06</v>
      </c>
      <c r="GI28" s="231">
        <f t="shared" si="174"/>
        <v>6.2077848477138459E-2</v>
      </c>
      <c r="GJ28" s="245">
        <f t="shared" si="187"/>
        <v>5.8019462119284611E-2</v>
      </c>
      <c r="GK28" s="231">
        <f t="shared" si="188"/>
        <v>5.4352961620060224E-3</v>
      </c>
      <c r="GL28" s="231">
        <f t="shared" si="47"/>
        <v>9.3680567924455627</v>
      </c>
      <c r="GN28" s="246">
        <f t="shared" si="175"/>
        <v>0.18</v>
      </c>
      <c r="GO28" s="246">
        <f t="shared" si="176"/>
        <v>0.18</v>
      </c>
      <c r="GP28" s="246">
        <f t="shared" si="177"/>
        <v>0.16295435225248844</v>
      </c>
      <c r="GQ28" s="247">
        <f t="shared" si="189"/>
        <v>0.17431811741749614</v>
      </c>
      <c r="GR28" s="246">
        <f t="shared" si="190"/>
        <v>9.8413093155373318E-3</v>
      </c>
      <c r="GS28" s="246">
        <f t="shared" si="48"/>
        <v>5.6456032576161634</v>
      </c>
      <c r="GU28" s="249">
        <f t="shared" si="178"/>
        <v>2.1261663103419922E-2</v>
      </c>
      <c r="GV28" s="249">
        <f t="shared" si="179"/>
        <v>2.1261663103419922E-2</v>
      </c>
      <c r="GW28" s="249" t="e">
        <f t="shared" si="180"/>
        <v>#DIV/0!</v>
      </c>
      <c r="GX28" s="249" t="e">
        <f t="shared" si="49"/>
        <v>#DIV/0!</v>
      </c>
      <c r="GZ28" s="240">
        <f t="shared" si="181"/>
        <v>2.3279193178926922E-2</v>
      </c>
      <c r="HA28" s="240">
        <f t="shared" si="182"/>
        <v>2.3279193178926922E-2</v>
      </c>
      <c r="HB28" s="240" t="e">
        <f t="shared" si="183"/>
        <v>#DIV/0!</v>
      </c>
      <c r="HC28" s="240" t="e">
        <f t="shared" si="50"/>
        <v>#DIV/0!</v>
      </c>
      <c r="HE28" s="234">
        <f t="shared" si="184"/>
        <v>9.1910599609743446E-2</v>
      </c>
      <c r="HF28" s="251">
        <f t="shared" si="185"/>
        <v>9.1910599609743446E-2</v>
      </c>
      <c r="HG28" s="234" t="e">
        <f t="shared" si="186"/>
        <v>#DIV/0!</v>
      </c>
      <c r="HH28" s="234" t="e">
        <f t="shared" si="51"/>
        <v>#DIV/0!</v>
      </c>
    </row>
    <row r="29" spans="2:216" ht="15.6" x14ac:dyDescent="0.25">
      <c r="B29">
        <v>25</v>
      </c>
      <c r="C29" s="124">
        <f t="shared" si="52"/>
        <v>77.9357366169382</v>
      </c>
      <c r="D29" s="124">
        <f t="shared" si="53"/>
        <v>181.75401300000004</v>
      </c>
      <c r="E29" s="29">
        <f t="shared" si="54"/>
        <v>2.0141046476289919</v>
      </c>
      <c r="F29" s="29">
        <f t="shared" si="0"/>
        <v>1.9882926348947483</v>
      </c>
      <c r="G29" s="29">
        <f t="shared" si="1"/>
        <v>1.9889764469209443</v>
      </c>
      <c r="H29" s="29">
        <f t="shared" si="2"/>
        <v>2.0141046476289919</v>
      </c>
      <c r="I29" s="29">
        <f t="shared" si="3"/>
        <v>1.9836227300236671</v>
      </c>
      <c r="J29" s="125">
        <f t="shared" si="4"/>
        <v>1.9978202214194685</v>
      </c>
      <c r="K29" s="126">
        <f t="shared" si="5"/>
        <v>1.5007673772502658E-2</v>
      </c>
      <c r="L29" s="126">
        <f t="shared" si="55"/>
        <v>0.75120241609325467</v>
      </c>
      <c r="N29" s="138">
        <f t="shared" si="56"/>
        <v>419.54224649808839</v>
      </c>
      <c r="O29" s="138">
        <f t="shared" si="57"/>
        <v>325.79239999999999</v>
      </c>
      <c r="P29" s="138">
        <f t="shared" si="58"/>
        <v>395.40017266599807</v>
      </c>
      <c r="Q29" s="138">
        <f t="shared" si="59"/>
        <v>415.72087308635935</v>
      </c>
      <c r="R29" s="138">
        <f t="shared" si="60"/>
        <v>419.54224649808839</v>
      </c>
      <c r="S29" s="138">
        <f t="shared" si="61"/>
        <v>385.24902067976558</v>
      </c>
      <c r="T29" s="138">
        <f t="shared" si="62"/>
        <v>393.54115990471661</v>
      </c>
      <c r="U29" s="138">
        <f t="shared" si="63"/>
        <v>36.072600834681964</v>
      </c>
      <c r="V29" s="138">
        <f t="shared" si="64"/>
        <v>9.1661570656080276</v>
      </c>
      <c r="X29" s="227">
        <f t="shared" si="65"/>
        <v>0.44108009375000001</v>
      </c>
      <c r="Y29" s="227">
        <f t="shared" si="66"/>
        <v>0.47</v>
      </c>
      <c r="Z29" s="227">
        <f t="shared" si="67"/>
        <v>0.44108009375000001</v>
      </c>
      <c r="AA29" s="227">
        <f t="shared" si="68"/>
        <v>0.45072006250000002</v>
      </c>
      <c r="AB29" s="227">
        <f t="shared" si="69"/>
        <v>1.6696915658376218E-2</v>
      </c>
      <c r="AC29" s="227">
        <f t="shared" si="70"/>
        <v>3.7044979905628708</v>
      </c>
      <c r="AE29" s="228">
        <f t="shared" si="71"/>
        <v>4.4671676139846985</v>
      </c>
      <c r="AF29" s="228">
        <f t="shared" si="72"/>
        <v>5.2850000000000001</v>
      </c>
      <c r="AG29" s="228">
        <f t="shared" si="73"/>
        <v>4.4671676139846985</v>
      </c>
      <c r="AH29" s="228">
        <f t="shared" si="74"/>
        <v>6.9887099914651882</v>
      </c>
      <c r="AI29" s="228">
        <f t="shared" si="75"/>
        <v>5.2850000000000001</v>
      </c>
      <c r="AJ29" s="228">
        <f t="shared" si="76"/>
        <v>5.9309081821263243</v>
      </c>
      <c r="AK29" s="228">
        <f t="shared" si="77"/>
        <v>5.5120201295536129</v>
      </c>
      <c r="AL29" s="228">
        <f t="shared" si="78"/>
        <v>5.4194247901592183</v>
      </c>
      <c r="AM29" s="228">
        <f t="shared" si="79"/>
        <v>0.87393484766162421</v>
      </c>
      <c r="AN29" s="228">
        <f t="shared" si="80"/>
        <v>16.125970587294535</v>
      </c>
      <c r="AP29" s="229">
        <f t="shared" si="192"/>
        <v>1.3909340659340659</v>
      </c>
      <c r="AQ29" s="229">
        <f t="shared" si="193"/>
        <v>1.4</v>
      </c>
      <c r="AR29" s="229">
        <f t="shared" si="194"/>
        <v>1.47</v>
      </c>
      <c r="AS29" s="229">
        <f t="shared" si="195"/>
        <v>1.4909945144541448</v>
      </c>
      <c r="AT29" s="229">
        <f t="shared" si="196"/>
        <v>1.3909340659340659</v>
      </c>
      <c r="AU29" s="229">
        <f t="shared" si="197"/>
        <v>0.4763810342674748</v>
      </c>
      <c r="AV29" s="229">
        <f t="shared" si="198"/>
        <v>1.4</v>
      </c>
      <c r="AW29" s="229">
        <f t="shared" si="199"/>
        <v>1.4499816281291307</v>
      </c>
      <c r="AX29" s="229">
        <f t="shared" si="200"/>
        <v>1.4592786115010972</v>
      </c>
      <c r="AY29" s="229">
        <f t="shared" si="90"/>
        <v>1.3253893244688864</v>
      </c>
      <c r="AZ29" s="229">
        <f t="shared" si="91"/>
        <v>0.32061030056861928</v>
      </c>
      <c r="BA29" s="229">
        <f t="shared" si="92"/>
        <v>24.189896104459351</v>
      </c>
      <c r="BC29" s="230">
        <f t="shared" si="93"/>
        <v>9.65</v>
      </c>
      <c r="BD29" s="230">
        <f t="shared" si="94"/>
        <v>11.73</v>
      </c>
      <c r="BE29" s="230">
        <f t="shared" si="95"/>
        <v>9.65</v>
      </c>
      <c r="BF29" s="230">
        <f t="shared" si="96"/>
        <v>9.2000425214904542</v>
      </c>
      <c r="BG29" s="230">
        <f t="shared" si="97"/>
        <v>10.057510630372613</v>
      </c>
      <c r="BH29" s="230">
        <f t="shared" si="98"/>
        <v>1.1349892917262745</v>
      </c>
      <c r="BI29" s="230">
        <f t="shared" si="99"/>
        <v>11.284992215655507</v>
      </c>
      <c r="BK29" s="227">
        <f t="shared" si="6"/>
        <v>19.600000000000001</v>
      </c>
      <c r="BL29" s="227">
        <f t="shared" si="7"/>
        <v>31.73</v>
      </c>
      <c r="BM29" s="227">
        <f t="shared" si="8"/>
        <v>40.949738340880543</v>
      </c>
      <c r="BN29" s="227">
        <f t="shared" si="9"/>
        <v>22.646983076030228</v>
      </c>
      <c r="BO29" s="227">
        <f t="shared" si="10"/>
        <v>19.600000000000001</v>
      </c>
      <c r="BP29" s="227">
        <f t="shared" si="11"/>
        <v>30.521682441328394</v>
      </c>
      <c r="BQ29" s="227">
        <f t="shared" si="12"/>
        <v>31.86</v>
      </c>
      <c r="BR29" s="227">
        <f t="shared" si="100"/>
        <v>28.129771979748455</v>
      </c>
      <c r="BS29" s="227">
        <f t="shared" si="101"/>
        <v>7.8795517031256948</v>
      </c>
      <c r="BT29" s="227">
        <f t="shared" si="13"/>
        <v>28.011431122863144</v>
      </c>
      <c r="BV29" s="231">
        <f t="shared" si="102"/>
        <v>0.26</v>
      </c>
      <c r="BW29" s="231">
        <f t="shared" si="103"/>
        <v>0.31712801389590067</v>
      </c>
      <c r="BX29" s="231">
        <f t="shared" si="104"/>
        <v>0.3170998001959176</v>
      </c>
      <c r="BY29" s="231">
        <f t="shared" si="105"/>
        <v>0.26</v>
      </c>
      <c r="BZ29" s="231">
        <f t="shared" si="106"/>
        <v>0.32849197356883231</v>
      </c>
      <c r="CA29" s="231">
        <f t="shared" si="107"/>
        <v>0.32201051516759477</v>
      </c>
      <c r="CB29" s="231">
        <f t="shared" si="108"/>
        <v>0.48</v>
      </c>
      <c r="CC29" s="231">
        <f t="shared" si="109"/>
        <v>0.48293546023068912</v>
      </c>
      <c r="CD29" s="231">
        <f t="shared" si="110"/>
        <v>0.34595822038236679</v>
      </c>
      <c r="CE29" s="231">
        <f t="shared" si="111"/>
        <v>8.7871778182473603E-2</v>
      </c>
      <c r="CF29" s="231">
        <f t="shared" si="14"/>
        <v>25.399534685244422</v>
      </c>
      <c r="CH29" s="232">
        <f t="shared" si="112"/>
        <v>1.4892243161844709</v>
      </c>
      <c r="CI29" s="232">
        <f t="shared" si="113"/>
        <v>1.52</v>
      </c>
      <c r="CJ29" s="232">
        <f t="shared" si="114"/>
        <v>2.1</v>
      </c>
      <c r="CK29" s="232">
        <f t="shared" si="115"/>
        <v>1.9304370323054079</v>
      </c>
      <c r="CL29" s="232">
        <f t="shared" si="116"/>
        <v>1.9359150487212295</v>
      </c>
      <c r="CM29" s="232">
        <f t="shared" si="117"/>
        <v>1.4981856916983163</v>
      </c>
      <c r="CN29" s="232">
        <f t="shared" si="118"/>
        <v>1.4921418963308228</v>
      </c>
      <c r="CO29" s="232">
        <f t="shared" si="119"/>
        <v>1.830446628158344</v>
      </c>
      <c r="CP29" s="232">
        <f t="shared" si="120"/>
        <v>1.52</v>
      </c>
      <c r="CQ29" s="232">
        <f t="shared" si="121"/>
        <v>1.5071113875121429</v>
      </c>
      <c r="CR29" s="232">
        <f t="shared" si="122"/>
        <v>1.6823462000910734</v>
      </c>
      <c r="CS29" s="232">
        <f t="shared" si="123"/>
        <v>0.23875215051227705</v>
      </c>
      <c r="CT29" s="232">
        <f t="shared" si="15"/>
        <v>14.191618259033264</v>
      </c>
      <c r="CV29" s="229">
        <f t="shared" si="16"/>
        <v>0.83</v>
      </c>
      <c r="CW29" s="229">
        <f t="shared" si="17"/>
        <v>1.19</v>
      </c>
      <c r="CX29" s="229">
        <f t="shared" si="18"/>
        <v>0.69785068531253613</v>
      </c>
      <c r="CY29" s="229">
        <f t="shared" si="19"/>
        <v>0.55070950721831846</v>
      </c>
      <c r="CZ29" s="229">
        <f t="shared" si="20"/>
        <v>1.1732386546629239</v>
      </c>
      <c r="DA29" s="229">
        <f t="shared" si="21"/>
        <v>0.83</v>
      </c>
      <c r="DB29" s="229">
        <f t="shared" si="22"/>
        <v>0.52996300899517979</v>
      </c>
      <c r="DC29" s="229">
        <f t="shared" si="23"/>
        <v>0.89</v>
      </c>
      <c r="DD29" s="229">
        <f t="shared" si="24"/>
        <v>0.83647023202361981</v>
      </c>
      <c r="DE29" s="229">
        <f t="shared" si="25"/>
        <v>0.24961876060937585</v>
      </c>
      <c r="DF29" s="229">
        <f t="shared" si="26"/>
        <v>29.841917984993788</v>
      </c>
      <c r="DH29" s="234">
        <f t="shared" si="124"/>
        <v>3.6999999999999998E-2</v>
      </c>
      <c r="DI29" s="234">
        <f t="shared" si="125"/>
        <v>0.05</v>
      </c>
      <c r="DJ29" s="234">
        <f t="shared" si="126"/>
        <v>0.11593831630484125</v>
      </c>
      <c r="DK29" s="234">
        <f t="shared" si="27"/>
        <v>6.7646105434947076E-2</v>
      </c>
      <c r="DL29" s="234">
        <f t="shared" si="28"/>
        <v>4.2324380952670104E-2</v>
      </c>
      <c r="DM29" s="234">
        <f t="shared" si="29"/>
        <v>62.567357988364904</v>
      </c>
      <c r="DO29" s="229">
        <f t="shared" si="127"/>
        <v>2.38</v>
      </c>
      <c r="DP29" s="229">
        <f t="shared" si="128"/>
        <v>3.49</v>
      </c>
      <c r="DQ29" s="229">
        <f t="shared" si="129"/>
        <v>3.8262405630132079</v>
      </c>
      <c r="DR29" s="229">
        <f t="shared" si="130"/>
        <v>2.9967303321292023</v>
      </c>
      <c r="DS29" s="229">
        <f t="shared" si="131"/>
        <v>2.6119399507252798</v>
      </c>
      <c r="DT29" s="229">
        <f t="shared" si="132"/>
        <v>2.38</v>
      </c>
      <c r="DU29" s="229">
        <f t="shared" si="133"/>
        <v>1.1299999999999999</v>
      </c>
      <c r="DV29" s="229">
        <f t="shared" si="134"/>
        <v>3.4441402170601312</v>
      </c>
      <c r="DW29" s="229">
        <f t="shared" si="30"/>
        <v>2.7823813828659776</v>
      </c>
      <c r="DX29" s="229">
        <f t="shared" si="31"/>
        <v>0.85835993056218918</v>
      </c>
      <c r="DY29" s="229">
        <f t="shared" si="32"/>
        <v>30.849830143631856</v>
      </c>
      <c r="EA29" s="235">
        <f t="shared" si="135"/>
        <v>0.14000000000000001</v>
      </c>
      <c r="EB29" s="235">
        <f t="shared" si="136"/>
        <v>0.20932743498076928</v>
      </c>
      <c r="EC29" s="235">
        <f t="shared" si="137"/>
        <v>0.14000000000000001</v>
      </c>
      <c r="ED29" s="235">
        <f t="shared" si="138"/>
        <v>0.16366504689557021</v>
      </c>
      <c r="EE29" s="235">
        <f t="shared" si="139"/>
        <v>0.14354589337698576</v>
      </c>
      <c r="EF29" s="235">
        <f t="shared" si="140"/>
        <v>0.15930767505066507</v>
      </c>
      <c r="EG29" s="235">
        <f t="shared" si="141"/>
        <v>2.9643588961666453E-2</v>
      </c>
      <c r="EH29" s="235">
        <f t="shared" si="33"/>
        <v>18.607759451789637</v>
      </c>
      <c r="EJ29" s="229">
        <f t="shared" si="142"/>
        <v>7.5426305676856105</v>
      </c>
      <c r="EK29" s="229">
        <f t="shared" si="143"/>
        <v>15.491298088412844</v>
      </c>
      <c r="EL29" s="229">
        <f t="shared" si="144"/>
        <v>6.91</v>
      </c>
      <c r="EM29" s="229">
        <f t="shared" si="145"/>
        <v>14.4</v>
      </c>
      <c r="EN29" s="229">
        <f t="shared" si="146"/>
        <v>16.902646544934829</v>
      </c>
      <c r="EO29" s="229">
        <f t="shared" si="34"/>
        <v>18.559381330704348</v>
      </c>
      <c r="EP29" s="229">
        <f t="shared" si="147"/>
        <v>19.288726953092077</v>
      </c>
      <c r="EQ29" s="229">
        <f t="shared" si="148"/>
        <v>14.156383354975672</v>
      </c>
      <c r="ER29" s="229">
        <f t="shared" si="149"/>
        <v>5.0226561294109819</v>
      </c>
      <c r="ES29" s="229">
        <f t="shared" si="35"/>
        <v>35.479797371025725</v>
      </c>
      <c r="EU29" s="238">
        <f t="shared" si="191"/>
        <v>1.558714732338764E-2</v>
      </c>
      <c r="EV29" s="238">
        <f t="shared" si="151"/>
        <v>1.558714732338764E-2</v>
      </c>
      <c r="EW29" s="238" t="e">
        <f t="shared" si="152"/>
        <v>#DIV/0!</v>
      </c>
      <c r="EX29" s="238" t="e">
        <f t="shared" si="36"/>
        <v>#DIV/0!</v>
      </c>
      <c r="EZ29" s="240">
        <f t="shared" si="153"/>
        <v>2.6654016457521294E-2</v>
      </c>
      <c r="FA29" s="240">
        <f t="shared" si="154"/>
        <v>2.6654016457521294E-2</v>
      </c>
      <c r="FB29" s="240" t="e">
        <f t="shared" si="155"/>
        <v>#DIV/0!</v>
      </c>
      <c r="FC29" s="240" t="e">
        <f t="shared" si="37"/>
        <v>#DIV/0!</v>
      </c>
      <c r="FE29" s="236">
        <f t="shared" si="156"/>
        <v>0.9</v>
      </c>
      <c r="FF29" s="236">
        <f t="shared" si="157"/>
        <v>1.2</v>
      </c>
      <c r="FG29" s="236">
        <f t="shared" si="158"/>
        <v>1.3162182837456979</v>
      </c>
      <c r="FH29" s="236">
        <f t="shared" si="159"/>
        <v>1.2859396541794803</v>
      </c>
      <c r="FI29" s="236">
        <f t="shared" si="160"/>
        <v>0.9</v>
      </c>
      <c r="FJ29" s="236">
        <f t="shared" si="161"/>
        <v>1.0911003126371348</v>
      </c>
      <c r="FK29" s="236">
        <f t="shared" si="38"/>
        <v>1.1155430417603855</v>
      </c>
      <c r="FL29" s="236">
        <f t="shared" si="39"/>
        <v>0.18436571740672703</v>
      </c>
      <c r="FM29" s="236">
        <f t="shared" si="40"/>
        <v>16.526992729548851</v>
      </c>
      <c r="FO29" s="227">
        <f t="shared" si="162"/>
        <v>0.3</v>
      </c>
      <c r="FP29" s="227">
        <f t="shared" si="163"/>
        <v>0.32</v>
      </c>
      <c r="FQ29" s="227">
        <f t="shared" si="164"/>
        <v>0.3622624896376837</v>
      </c>
      <c r="FR29" s="227">
        <f t="shared" si="165"/>
        <v>0.3</v>
      </c>
      <c r="FS29" s="227">
        <f t="shared" si="166"/>
        <v>0.3507108147762219</v>
      </c>
      <c r="FT29" s="227">
        <f t="shared" si="41"/>
        <v>0.32659466088278111</v>
      </c>
      <c r="FU29" s="227">
        <f t="shared" si="42"/>
        <v>2.8774226374484492E-2</v>
      </c>
      <c r="FV29" s="227">
        <f t="shared" si="43"/>
        <v>8.810378680627581</v>
      </c>
      <c r="FX29" s="230">
        <f t="shared" si="167"/>
        <v>2.94</v>
      </c>
      <c r="FY29" s="230">
        <f t="shared" si="168"/>
        <v>1.6366504689557022</v>
      </c>
      <c r="FZ29" s="230">
        <f t="shared" si="169"/>
        <v>2.94</v>
      </c>
      <c r="GA29" s="230">
        <f t="shared" si="170"/>
        <v>3.7252250025629605</v>
      </c>
      <c r="GB29" s="230">
        <f t="shared" si="44"/>
        <v>2.8104688678796652</v>
      </c>
      <c r="GC29" s="230">
        <f t="shared" si="45"/>
        <v>0.86567604563714595</v>
      </c>
      <c r="GD29" s="230">
        <f t="shared" si="46"/>
        <v>30.801837214096167</v>
      </c>
      <c r="GF29" s="231">
        <f t="shared" si="171"/>
        <v>0.06</v>
      </c>
      <c r="GG29" s="231">
        <f t="shared" si="172"/>
        <v>0.05</v>
      </c>
      <c r="GH29" s="231">
        <f t="shared" si="173"/>
        <v>0.06</v>
      </c>
      <c r="GI29" s="231">
        <f t="shared" si="174"/>
        <v>6.2348589293550562E-2</v>
      </c>
      <c r="GJ29" s="245">
        <f t="shared" si="187"/>
        <v>5.8087147323387635E-2</v>
      </c>
      <c r="GK29" s="231">
        <f t="shared" si="188"/>
        <v>5.5039334486070958E-3</v>
      </c>
      <c r="GL29" s="231">
        <f t="shared" si="47"/>
        <v>9.4753034057002949</v>
      </c>
      <c r="GN29" s="246">
        <f t="shared" si="175"/>
        <v>0.18</v>
      </c>
      <c r="GO29" s="246">
        <f t="shared" si="176"/>
        <v>0.18</v>
      </c>
      <c r="GP29" s="246">
        <f t="shared" si="177"/>
        <v>0.16366504689557021</v>
      </c>
      <c r="GQ29" s="247">
        <f t="shared" si="189"/>
        <v>0.17455501563185671</v>
      </c>
      <c r="GR29" s="246">
        <f t="shared" si="190"/>
        <v>9.4309895720424489E-3</v>
      </c>
      <c r="GS29" s="246">
        <f t="shared" si="48"/>
        <v>5.402875155379534</v>
      </c>
      <c r="GU29" s="249">
        <f t="shared" si="178"/>
        <v>2.1354391833041067E-2</v>
      </c>
      <c r="GV29" s="249">
        <f t="shared" si="179"/>
        <v>2.1354391833041067E-2</v>
      </c>
      <c r="GW29" s="249" t="e">
        <f t="shared" si="180"/>
        <v>#DIV/0!</v>
      </c>
      <c r="GX29" s="249" t="e">
        <f t="shared" si="49"/>
        <v>#DIV/0!</v>
      </c>
      <c r="GZ29" s="240">
        <f t="shared" si="181"/>
        <v>2.3380720985081462E-2</v>
      </c>
      <c r="HA29" s="240">
        <f t="shared" si="182"/>
        <v>2.3380720985081462E-2</v>
      </c>
      <c r="HB29" s="240" t="e">
        <f t="shared" si="183"/>
        <v>#DIV/0!</v>
      </c>
      <c r="HC29" s="240" t="e">
        <f t="shared" si="50"/>
        <v>#DIV/0!</v>
      </c>
      <c r="HE29" s="234">
        <f t="shared" si="184"/>
        <v>9.2313326574156446E-2</v>
      </c>
      <c r="HF29" s="251">
        <f t="shared" si="185"/>
        <v>9.2313326574156446E-2</v>
      </c>
      <c r="HG29" s="234" t="e">
        <f t="shared" si="186"/>
        <v>#DIV/0!</v>
      </c>
      <c r="HH29" s="234" t="e">
        <f t="shared" si="51"/>
        <v>#DIV/0!</v>
      </c>
    </row>
    <row r="30" spans="2:216" ht="15.6" x14ac:dyDescent="0.25">
      <c r="B30">
        <v>26</v>
      </c>
      <c r="C30" s="124">
        <f t="shared" si="52"/>
        <v>78.1304092996469</v>
      </c>
      <c r="D30" s="124">
        <f t="shared" si="53"/>
        <v>181.81764003711831</v>
      </c>
      <c r="E30" s="29">
        <f t="shared" si="54"/>
        <v>2.0170156664742644</v>
      </c>
      <c r="F30" s="29">
        <f t="shared" si="0"/>
        <v>1.9909070194152312</v>
      </c>
      <c r="G30" s="29">
        <f t="shared" si="1"/>
        <v>1.9918276962141845</v>
      </c>
      <c r="H30" s="29">
        <f t="shared" si="2"/>
        <v>2.0170156664742644</v>
      </c>
      <c r="I30" s="29">
        <f t="shared" si="3"/>
        <v>1.9864462009939536</v>
      </c>
      <c r="J30" s="125">
        <f t="shared" si="4"/>
        <v>2.0006424499143796</v>
      </c>
      <c r="K30" s="126">
        <f t="shared" si="5"/>
        <v>1.5084565076953011E-2</v>
      </c>
      <c r="L30" s="126">
        <f t="shared" si="55"/>
        <v>0.75398605470950475</v>
      </c>
      <c r="N30" s="138">
        <f t="shared" si="56"/>
        <v>420.13491448201978</v>
      </c>
      <c r="O30" s="138">
        <f t="shared" si="57"/>
        <v>325.79239999999999</v>
      </c>
      <c r="P30" s="138">
        <f t="shared" si="58"/>
        <v>394.40658482243259</v>
      </c>
      <c r="Q30" s="138">
        <f t="shared" si="59"/>
        <v>416.51076598531222</v>
      </c>
      <c r="R30" s="138">
        <f t="shared" si="60"/>
        <v>420.13491448201978</v>
      </c>
      <c r="S30" s="138">
        <f t="shared" si="61"/>
        <v>386.89358522450163</v>
      </c>
      <c r="T30" s="138">
        <f t="shared" si="62"/>
        <v>393.97886083271436</v>
      </c>
      <c r="U30" s="138">
        <f t="shared" si="63"/>
        <v>36.264976365533066</v>
      </c>
      <c r="V30" s="138">
        <f t="shared" si="64"/>
        <v>9.2048025848095882</v>
      </c>
      <c r="X30" s="227">
        <f t="shared" si="65"/>
        <v>0.4426432924</v>
      </c>
      <c r="Y30" s="227">
        <f t="shared" si="66"/>
        <v>0.47</v>
      </c>
      <c r="Z30" s="227">
        <f t="shared" si="67"/>
        <v>0.4426432924</v>
      </c>
      <c r="AA30" s="227">
        <f t="shared" si="68"/>
        <v>0.45176219493333331</v>
      </c>
      <c r="AB30" s="227">
        <f t="shared" si="69"/>
        <v>1.5794402497001866E-2</v>
      </c>
      <c r="AC30" s="227">
        <f t="shared" si="70"/>
        <v>3.4961762347849077</v>
      </c>
      <c r="AE30" s="228">
        <f t="shared" si="71"/>
        <v>4.4747931554145133</v>
      </c>
      <c r="AF30" s="228">
        <f t="shared" si="72"/>
        <v>5.2850000000000001</v>
      </c>
      <c r="AG30" s="228">
        <f t="shared" si="73"/>
        <v>4.4747931554145133</v>
      </c>
      <c r="AH30" s="228">
        <f t="shared" si="74"/>
        <v>7.0061614997945441</v>
      </c>
      <c r="AI30" s="228">
        <f t="shared" si="75"/>
        <v>5.2850000000000001</v>
      </c>
      <c r="AJ30" s="228">
        <f t="shared" si="76"/>
        <v>5.9457233854461089</v>
      </c>
      <c r="AK30" s="228">
        <f t="shared" si="77"/>
        <v>5.520886186995174</v>
      </c>
      <c r="AL30" s="228">
        <f t="shared" si="78"/>
        <v>5.4274796261521221</v>
      </c>
      <c r="AM30" s="228">
        <f t="shared" si="79"/>
        <v>0.8780054810585064</v>
      </c>
      <c r="AN30" s="228">
        <f t="shared" si="80"/>
        <v>16.177038727660396</v>
      </c>
      <c r="AP30" s="229">
        <f t="shared" si="192"/>
        <v>1.3929176370950669</v>
      </c>
      <c r="AQ30" s="229">
        <f t="shared" si="193"/>
        <v>1.4</v>
      </c>
      <c r="AR30" s="229">
        <f t="shared" si="194"/>
        <v>1.47</v>
      </c>
      <c r="AS30" s="229">
        <f t="shared" si="195"/>
        <v>1.4893160029131387</v>
      </c>
      <c r="AT30" s="229">
        <f t="shared" si="196"/>
        <v>1.3929176370950669</v>
      </c>
      <c r="AU30" s="229">
        <f t="shared" si="197"/>
        <v>0.49450110740761272</v>
      </c>
      <c r="AV30" s="229">
        <f t="shared" si="198"/>
        <v>1.4</v>
      </c>
      <c r="AW30" s="229">
        <f t="shared" si="199"/>
        <v>1.4499881678460367</v>
      </c>
      <c r="AX30" s="229">
        <f t="shared" si="200"/>
        <v>1.4569604569274757</v>
      </c>
      <c r="AY30" s="229">
        <f t="shared" si="90"/>
        <v>1.327400112142711</v>
      </c>
      <c r="AZ30" s="229">
        <f t="shared" si="91"/>
        <v>0.3144861939968554</v>
      </c>
      <c r="BA30" s="229">
        <f t="shared" si="92"/>
        <v>23.691891474169505</v>
      </c>
      <c r="BC30" s="230">
        <f t="shared" si="93"/>
        <v>9.65</v>
      </c>
      <c r="BD30" s="230">
        <f t="shared" si="94"/>
        <v>11.73</v>
      </c>
      <c r="BE30" s="230">
        <f t="shared" si="95"/>
        <v>9.65</v>
      </c>
      <c r="BF30" s="230">
        <f t="shared" si="96"/>
        <v>9.200093442000906</v>
      </c>
      <c r="BG30" s="230">
        <f t="shared" si="97"/>
        <v>10.057523360500227</v>
      </c>
      <c r="BH30" s="230">
        <f t="shared" si="98"/>
        <v>1.1349764687012975</v>
      </c>
      <c r="BI30" s="230">
        <f t="shared" si="99"/>
        <v>11.284850435036402</v>
      </c>
      <c r="BK30" s="227">
        <f t="shared" si="6"/>
        <v>19.600000000000001</v>
      </c>
      <c r="BL30" s="227">
        <f t="shared" si="7"/>
        <v>31.73</v>
      </c>
      <c r="BM30" s="227">
        <f t="shared" si="8"/>
        <v>41.003687724524724</v>
      </c>
      <c r="BN30" s="227">
        <f t="shared" si="9"/>
        <v>22.666114950209305</v>
      </c>
      <c r="BO30" s="227">
        <f t="shared" si="10"/>
        <v>19.600000000000001</v>
      </c>
      <c r="BP30" s="227">
        <f t="shared" si="11"/>
        <v>30.647674735323651</v>
      </c>
      <c r="BQ30" s="227">
        <f t="shared" si="12"/>
        <v>31.86</v>
      </c>
      <c r="BR30" s="227">
        <f t="shared" si="100"/>
        <v>28.158211058579671</v>
      </c>
      <c r="BS30" s="227">
        <f t="shared" si="101"/>
        <v>7.8984564999752385</v>
      </c>
      <c r="BT30" s="227">
        <f t="shared" si="13"/>
        <v>28.050278064694801</v>
      </c>
      <c r="BV30" s="231">
        <f t="shared" si="102"/>
        <v>0.26</v>
      </c>
      <c r="BW30" s="231">
        <f t="shared" si="103"/>
        <v>0.31731336295806384</v>
      </c>
      <c r="BX30" s="231">
        <f t="shared" si="104"/>
        <v>0.31766478885459198</v>
      </c>
      <c r="BY30" s="231">
        <f t="shared" si="105"/>
        <v>0.26</v>
      </c>
      <c r="BZ30" s="231">
        <f t="shared" si="106"/>
        <v>0.32908434989272689</v>
      </c>
      <c r="CA30" s="231">
        <f t="shared" si="107"/>
        <v>0.32249559165711938</v>
      </c>
      <c r="CB30" s="231">
        <f t="shared" si="108"/>
        <v>0.48</v>
      </c>
      <c r="CC30" s="231">
        <f t="shared" si="109"/>
        <v>0.48317289445265327</v>
      </c>
      <c r="CD30" s="231">
        <f t="shared" si="110"/>
        <v>0.34621637347689443</v>
      </c>
      <c r="CE30" s="231">
        <f t="shared" si="111"/>
        <v>8.7854126009456204E-2</v>
      </c>
      <c r="CF30" s="231">
        <f t="shared" si="14"/>
        <v>25.375497157219041</v>
      </c>
      <c r="CH30" s="232">
        <f t="shared" si="112"/>
        <v>1.4917302120845191</v>
      </c>
      <c r="CI30" s="232">
        <f t="shared" si="113"/>
        <v>1.52</v>
      </c>
      <c r="CJ30" s="232">
        <f t="shared" si="114"/>
        <v>2.1</v>
      </c>
      <c r="CK30" s="232">
        <f t="shared" si="115"/>
        <v>1.9341938530771288</v>
      </c>
      <c r="CL30" s="232">
        <f t="shared" si="116"/>
        <v>1.9365931127002871</v>
      </c>
      <c r="CM30" s="232">
        <f t="shared" si="117"/>
        <v>1.5011038536648067</v>
      </c>
      <c r="CN30" s="232">
        <f t="shared" si="118"/>
        <v>1.4946527016001632</v>
      </c>
      <c r="CO30" s="232">
        <f t="shared" si="119"/>
        <v>1.8348312780577347</v>
      </c>
      <c r="CP30" s="232">
        <f t="shared" si="120"/>
        <v>1.52</v>
      </c>
      <c r="CQ30" s="232">
        <f t="shared" si="121"/>
        <v>1.5091110553723739</v>
      </c>
      <c r="CR30" s="232">
        <f t="shared" si="122"/>
        <v>1.6842216066557012</v>
      </c>
      <c r="CS30" s="232">
        <f t="shared" si="123"/>
        <v>0.23871299413038807</v>
      </c>
      <c r="CT30" s="232">
        <f t="shared" si="15"/>
        <v>14.173490779778794</v>
      </c>
      <c r="CV30" s="229">
        <f t="shared" si="16"/>
        <v>0.83</v>
      </c>
      <c r="CW30" s="229">
        <f t="shared" si="17"/>
        <v>1.19</v>
      </c>
      <c r="CX30" s="229">
        <f t="shared" si="18"/>
        <v>0.70124178102822432</v>
      </c>
      <c r="CY30" s="229">
        <f t="shared" si="19"/>
        <v>0.55095094453762594</v>
      </c>
      <c r="CZ30" s="229">
        <f t="shared" si="20"/>
        <v>1.1754771939649016</v>
      </c>
      <c r="DA30" s="229">
        <f t="shared" si="21"/>
        <v>0.83</v>
      </c>
      <c r="DB30" s="229">
        <f t="shared" si="22"/>
        <v>0.53128678323759893</v>
      </c>
      <c r="DC30" s="229">
        <f t="shared" si="23"/>
        <v>0.89</v>
      </c>
      <c r="DD30" s="229">
        <f t="shared" si="24"/>
        <v>0.83736958784604387</v>
      </c>
      <c r="DE30" s="229">
        <f t="shared" si="25"/>
        <v>0.24951285255343564</v>
      </c>
      <c r="DF30" s="229">
        <f t="shared" si="26"/>
        <v>29.797219313308794</v>
      </c>
      <c r="DH30" s="234">
        <f t="shared" si="124"/>
        <v>3.848E-2</v>
      </c>
      <c r="DI30" s="234">
        <f t="shared" si="125"/>
        <v>5.2000000000000005E-2</v>
      </c>
      <c r="DJ30" s="234">
        <f t="shared" si="126"/>
        <v>0.11612487093243948</v>
      </c>
      <c r="DK30" s="234">
        <f t="shared" si="27"/>
        <v>6.8868290310813166E-2</v>
      </c>
      <c r="DL30" s="234">
        <f t="shared" si="28"/>
        <v>4.1479945865878387E-2</v>
      </c>
      <c r="DM30" s="234">
        <f t="shared" si="29"/>
        <v>60.230834363206966</v>
      </c>
      <c r="DO30" s="229">
        <f t="shared" si="127"/>
        <v>2.38</v>
      </c>
      <c r="DP30" s="229">
        <f t="shared" si="128"/>
        <v>3.49</v>
      </c>
      <c r="DQ30" s="229">
        <f t="shared" si="129"/>
        <v>3.8316569550620505</v>
      </c>
      <c r="DR30" s="229">
        <f t="shared" si="130"/>
        <v>3.0009636748715693</v>
      </c>
      <c r="DS30" s="229">
        <f t="shared" si="131"/>
        <v>2.6170136918563074</v>
      </c>
      <c r="DT30" s="229">
        <f t="shared" si="132"/>
        <v>2.38</v>
      </c>
      <c r="DU30" s="229">
        <f t="shared" si="133"/>
        <v>1.1752</v>
      </c>
      <c r="DV30" s="229">
        <f t="shared" si="134"/>
        <v>3.4601182123340126</v>
      </c>
      <c r="DW30" s="229">
        <f t="shared" si="30"/>
        <v>2.7918690667654924</v>
      </c>
      <c r="DX30" s="229">
        <f t="shared" si="31"/>
        <v>0.84872077337996399</v>
      </c>
      <c r="DY30" s="229">
        <f t="shared" si="32"/>
        <v>30.399734123751216</v>
      </c>
      <c r="EA30" s="235">
        <f t="shared" si="135"/>
        <v>0.14000000000000001</v>
      </c>
      <c r="EB30" s="235">
        <f t="shared" si="136"/>
        <v>0.20976558703956832</v>
      </c>
      <c r="EC30" s="235">
        <f t="shared" si="137"/>
        <v>0.14000000000000001</v>
      </c>
      <c r="ED30" s="235">
        <f t="shared" si="138"/>
        <v>0.16407385952925849</v>
      </c>
      <c r="EE30" s="235">
        <f t="shared" si="139"/>
        <v>0.14375859928183982</v>
      </c>
      <c r="EF30" s="235">
        <f t="shared" si="140"/>
        <v>0.15951960917013333</v>
      </c>
      <c r="EG30" s="235">
        <f t="shared" si="141"/>
        <v>2.981542891439665E-2</v>
      </c>
      <c r="EH30" s="235">
        <f t="shared" si="33"/>
        <v>18.690761010201221</v>
      </c>
      <c r="EJ30" s="229">
        <f t="shared" si="142"/>
        <v>7.5426305676856105</v>
      </c>
      <c r="EK30" s="229">
        <f t="shared" si="143"/>
        <v>15.918075005236425</v>
      </c>
      <c r="EL30" s="229">
        <f t="shared" si="144"/>
        <v>6.91</v>
      </c>
      <c r="EM30" s="229">
        <f t="shared" si="145"/>
        <v>14.4</v>
      </c>
      <c r="EN30" s="229">
        <f t="shared" si="146"/>
        <v>17.159472298822561</v>
      </c>
      <c r="EO30" s="229">
        <f t="shared" si="34"/>
        <v>18.679862828544241</v>
      </c>
      <c r="EP30" s="229">
        <f t="shared" si="147"/>
        <v>19.420392086341643</v>
      </c>
      <c r="EQ30" s="229">
        <f t="shared" si="148"/>
        <v>14.290061826661498</v>
      </c>
      <c r="ER30" s="229">
        <f t="shared" si="149"/>
        <v>5.1068550716788179</v>
      </c>
      <c r="ES30" s="229">
        <f t="shared" si="35"/>
        <v>35.737109703407782</v>
      </c>
      <c r="EU30" s="238">
        <f t="shared" si="191"/>
        <v>1.5626081859929381E-2</v>
      </c>
      <c r="EV30" s="238">
        <f t="shared" si="151"/>
        <v>1.5626081859929381E-2</v>
      </c>
      <c r="EW30" s="238" t="e">
        <f t="shared" si="152"/>
        <v>#DIV/0!</v>
      </c>
      <c r="EX30" s="238" t="e">
        <f t="shared" si="36"/>
        <v>#DIV/0!</v>
      </c>
      <c r="EZ30" s="240">
        <f t="shared" si="153"/>
        <v>2.672059865609807E-2</v>
      </c>
      <c r="FA30" s="240">
        <f t="shared" si="154"/>
        <v>2.672059865609807E-2</v>
      </c>
      <c r="FB30" s="240" t="e">
        <f t="shared" si="155"/>
        <v>#DIV/0!</v>
      </c>
      <c r="FC30" s="240" t="e">
        <f t="shared" si="37"/>
        <v>#DIV/0!</v>
      </c>
      <c r="FE30" s="236">
        <f t="shared" si="156"/>
        <v>0.9</v>
      </c>
      <c r="FF30" s="236">
        <f t="shared" si="157"/>
        <v>1.2</v>
      </c>
      <c r="FG30" s="236">
        <f t="shared" si="158"/>
        <v>1.317031287526278</v>
      </c>
      <c r="FH30" s="236">
        <f t="shared" si="159"/>
        <v>1.2891517534441739</v>
      </c>
      <c r="FI30" s="236">
        <f t="shared" si="160"/>
        <v>0.9</v>
      </c>
      <c r="FJ30" s="236">
        <f t="shared" si="161"/>
        <v>1.0938257301950567</v>
      </c>
      <c r="FK30" s="236">
        <f t="shared" si="38"/>
        <v>1.1166681285275848</v>
      </c>
      <c r="FL30" s="236">
        <f t="shared" si="39"/>
        <v>0.18506870516231044</v>
      </c>
      <c r="FM30" s="236">
        <f t="shared" si="40"/>
        <v>16.573295183622566</v>
      </c>
      <c r="FO30" s="227">
        <f t="shared" si="162"/>
        <v>0.3</v>
      </c>
      <c r="FP30" s="227">
        <f t="shared" si="163"/>
        <v>0.32</v>
      </c>
      <c r="FQ30" s="227">
        <f t="shared" si="164"/>
        <v>0.36287677340358443</v>
      </c>
      <c r="FR30" s="227">
        <f t="shared" si="165"/>
        <v>0.3</v>
      </c>
      <c r="FS30" s="227">
        <f t="shared" si="166"/>
        <v>0.35158684184841105</v>
      </c>
      <c r="FT30" s="227">
        <f t="shared" si="41"/>
        <v>0.32689272305039907</v>
      </c>
      <c r="FU30" s="227">
        <f t="shared" si="42"/>
        <v>2.9148748344531634E-2</v>
      </c>
      <c r="FV30" s="227">
        <f t="shared" si="43"/>
        <v>8.9169156390298703</v>
      </c>
      <c r="FX30" s="230">
        <f t="shared" si="167"/>
        <v>2.94</v>
      </c>
      <c r="FY30" s="230">
        <f t="shared" si="168"/>
        <v>1.640738595292585</v>
      </c>
      <c r="FZ30" s="230">
        <f t="shared" si="169"/>
        <v>2.94</v>
      </c>
      <c r="GA30" s="230">
        <f t="shared" si="170"/>
        <v>3.752753465928496</v>
      </c>
      <c r="GB30" s="230">
        <f t="shared" si="44"/>
        <v>2.8183730153052702</v>
      </c>
      <c r="GC30" s="230">
        <f t="shared" si="45"/>
        <v>0.87358951087211467</v>
      </c>
      <c r="GD30" s="230">
        <f t="shared" si="46"/>
        <v>30.996234569663322</v>
      </c>
      <c r="GF30" s="231">
        <f t="shared" si="171"/>
        <v>0.06</v>
      </c>
      <c r="GG30" s="231">
        <f t="shared" si="172"/>
        <v>0.05</v>
      </c>
      <c r="GH30" s="231">
        <f t="shared" si="173"/>
        <v>0.06</v>
      </c>
      <c r="GI30" s="231">
        <f t="shared" si="174"/>
        <v>6.2504327439717525E-2</v>
      </c>
      <c r="GJ30" s="245">
        <f t="shared" si="187"/>
        <v>5.8126081859929374E-2</v>
      </c>
      <c r="GK30" s="231">
        <f t="shared" si="188"/>
        <v>5.5445282078393637E-3</v>
      </c>
      <c r="GL30" s="231">
        <f t="shared" si="47"/>
        <v>9.538795718590519</v>
      </c>
      <c r="GN30" s="246">
        <f t="shared" si="175"/>
        <v>0.18</v>
      </c>
      <c r="GO30" s="246">
        <f t="shared" si="176"/>
        <v>0.18</v>
      </c>
      <c r="GP30" s="246">
        <f t="shared" si="177"/>
        <v>0.16407385952925849</v>
      </c>
      <c r="GQ30" s="247">
        <f t="shared" si="189"/>
        <v>0.17469128650975282</v>
      </c>
      <c r="GR30" s="246">
        <f t="shared" si="190"/>
        <v>9.194961487934401E-3</v>
      </c>
      <c r="GS30" s="246">
        <f t="shared" si="48"/>
        <v>5.263549013602951</v>
      </c>
      <c r="GU30" s="249">
        <f t="shared" si="178"/>
        <v>2.1407732148103251E-2</v>
      </c>
      <c r="GV30" s="249">
        <f t="shared" si="179"/>
        <v>2.1407732148103251E-2</v>
      </c>
      <c r="GW30" s="249" t="e">
        <f t="shared" si="180"/>
        <v>#DIV/0!</v>
      </c>
      <c r="GX30" s="249" t="e">
        <f t="shared" si="49"/>
        <v>#DIV/0!</v>
      </c>
      <c r="GZ30" s="240">
        <f t="shared" si="181"/>
        <v>2.3439122789894073E-2</v>
      </c>
      <c r="HA30" s="240">
        <f t="shared" si="182"/>
        <v>2.3439122789894073E-2</v>
      </c>
      <c r="HB30" s="240" t="e">
        <f t="shared" si="183"/>
        <v>#DIV/0!</v>
      </c>
      <c r="HC30" s="240" t="e">
        <f t="shared" si="50"/>
        <v>#DIV/0!</v>
      </c>
      <c r="HE30" s="234">
        <f t="shared" si="184"/>
        <v>9.2544987066579792E-2</v>
      </c>
      <c r="HF30" s="251">
        <f t="shared" si="185"/>
        <v>9.2544987066579792E-2</v>
      </c>
      <c r="HG30" s="234" t="e">
        <f t="shared" si="186"/>
        <v>#DIV/0!</v>
      </c>
      <c r="HH30" s="234" t="e">
        <f t="shared" si="51"/>
        <v>#DIV/0!</v>
      </c>
    </row>
    <row r="31" spans="2:216" ht="15.6" x14ac:dyDescent="0.25">
      <c r="B31">
        <v>27</v>
      </c>
      <c r="C31" s="124">
        <f t="shared" si="52"/>
        <v>78.227152265977097</v>
      </c>
      <c r="D31" s="124">
        <f t="shared" si="53"/>
        <v>181.71648465239801</v>
      </c>
      <c r="E31" s="29">
        <f t="shared" si="54"/>
        <v>2.0178422951538235</v>
      </c>
      <c r="F31" s="29">
        <f t="shared" si="0"/>
        <v>1.9911508193498793</v>
      </c>
      <c r="G31" s="29">
        <f t="shared" si="1"/>
        <v>1.992629455295589</v>
      </c>
      <c r="H31" s="29">
        <f t="shared" si="2"/>
        <v>2.0178422951538235</v>
      </c>
      <c r="I31" s="29">
        <f t="shared" si="3"/>
        <v>1.9871226486039522</v>
      </c>
      <c r="J31" s="125">
        <f t="shared" si="4"/>
        <v>2.0013175027114132</v>
      </c>
      <c r="K31" s="126">
        <f t="shared" si="5"/>
        <v>1.5219026185460149E-2</v>
      </c>
      <c r="L31" s="126">
        <f t="shared" si="55"/>
        <v>0.76045036156637802</v>
      </c>
      <c r="N31" s="138">
        <f t="shared" si="56"/>
        <v>420.27667556939684</v>
      </c>
      <c r="O31" s="138">
        <f t="shared" si="57"/>
        <v>325.79239999999999</v>
      </c>
      <c r="P31" s="138">
        <f t="shared" si="58"/>
        <v>392.95202901820176</v>
      </c>
      <c r="Q31" s="138">
        <f t="shared" si="59"/>
        <v>416.90312971613366</v>
      </c>
      <c r="R31" s="138">
        <f t="shared" si="60"/>
        <v>420.27667556939684</v>
      </c>
      <c r="S31" s="138">
        <f t="shared" si="61"/>
        <v>388.33435225915645</v>
      </c>
      <c r="T31" s="138">
        <f t="shared" si="62"/>
        <v>394.08921035538089</v>
      </c>
      <c r="U31" s="138">
        <f t="shared" si="63"/>
        <v>36.306769239605153</v>
      </c>
      <c r="V31" s="138">
        <f t="shared" si="64"/>
        <v>9.2128300612098748</v>
      </c>
      <c r="X31" s="227">
        <f t="shared" si="65"/>
        <v>0.44403775844999999</v>
      </c>
      <c r="Y31" s="227">
        <f t="shared" si="66"/>
        <v>0.47</v>
      </c>
      <c r="Z31" s="227">
        <f t="shared" si="67"/>
        <v>0.44403775844999999</v>
      </c>
      <c r="AA31" s="227">
        <f t="shared" si="68"/>
        <v>0.45269183896666659</v>
      </c>
      <c r="AB31" s="227">
        <f t="shared" si="69"/>
        <v>1.498930714765858E-2</v>
      </c>
      <c r="AC31" s="227">
        <f t="shared" si="70"/>
        <v>3.311150291967667</v>
      </c>
      <c r="AE31" s="228">
        <f t="shared" si="71"/>
        <v>4.4766174514366508</v>
      </c>
      <c r="AF31" s="228">
        <f t="shared" si="72"/>
        <v>5.2850000000000001</v>
      </c>
      <c r="AG31" s="228">
        <f t="shared" si="73"/>
        <v>4.4766174514366508</v>
      </c>
      <c r="AH31" s="228">
        <f t="shared" si="74"/>
        <v>7.0148340507614551</v>
      </c>
      <c r="AI31" s="228">
        <f t="shared" si="75"/>
        <v>5.2850000000000001</v>
      </c>
      <c r="AJ31" s="228">
        <f t="shared" si="76"/>
        <v>5.9530858652230743</v>
      </c>
      <c r="AK31" s="228">
        <f t="shared" si="77"/>
        <v>5.5230068717254763</v>
      </c>
      <c r="AL31" s="228">
        <f t="shared" si="78"/>
        <v>5.4305945272261864</v>
      </c>
      <c r="AM31" s="228">
        <f t="shared" si="79"/>
        <v>0.88070919932075431</v>
      </c>
      <c r="AN31" s="228">
        <f t="shared" si="80"/>
        <v>16.21754662229586</v>
      </c>
      <c r="AP31" s="229">
        <f t="shared" si="192"/>
        <v>1.3947610294117649</v>
      </c>
      <c r="AQ31" s="229">
        <f t="shared" si="193"/>
        <v>1.4</v>
      </c>
      <c r="AR31" s="229">
        <f t="shared" si="194"/>
        <v>1.47</v>
      </c>
      <c r="AS31" s="229">
        <f t="shared" si="195"/>
        <v>1.4865367000927763</v>
      </c>
      <c r="AT31" s="229">
        <f t="shared" si="196"/>
        <v>1.3947610294117649</v>
      </c>
      <c r="AU31" s="229">
        <f t="shared" si="197"/>
        <v>0.51304128520800918</v>
      </c>
      <c r="AV31" s="229">
        <f t="shared" si="198"/>
        <v>1.4</v>
      </c>
      <c r="AW31" s="229">
        <f t="shared" si="199"/>
        <v>1.4499923796619079</v>
      </c>
      <c r="AX31" s="229">
        <f t="shared" si="200"/>
        <v>1.4546459848858535</v>
      </c>
      <c r="AY31" s="229">
        <f t="shared" si="90"/>
        <v>1.3293042676302307</v>
      </c>
      <c r="AZ31" s="229">
        <f t="shared" si="91"/>
        <v>0.3081484419773971</v>
      </c>
      <c r="BA31" s="229">
        <f t="shared" si="92"/>
        <v>23.181182027402773</v>
      </c>
      <c r="BC31" s="230">
        <f t="shared" si="93"/>
        <v>9.65</v>
      </c>
      <c r="BD31" s="230">
        <f t="shared" si="94"/>
        <v>11.73</v>
      </c>
      <c r="BE31" s="230">
        <f t="shared" si="95"/>
        <v>9.65</v>
      </c>
      <c r="BF31" s="230">
        <f t="shared" si="96"/>
        <v>9.2001121748127144</v>
      </c>
      <c r="BG31" s="230">
        <f t="shared" si="97"/>
        <v>10.057528043703179</v>
      </c>
      <c r="BH31" s="230">
        <f t="shared" si="98"/>
        <v>1.1349717514301971</v>
      </c>
      <c r="BI31" s="230">
        <f t="shared" si="99"/>
        <v>11.284798277453282</v>
      </c>
      <c r="BK31" s="227">
        <f t="shared" si="6"/>
        <v>19.600000000000001</v>
      </c>
      <c r="BL31" s="227">
        <f t="shared" si="7"/>
        <v>31.73</v>
      </c>
      <c r="BM31" s="227">
        <f t="shared" si="8"/>
        <v>41.012322207780045</v>
      </c>
      <c r="BN31" s="227">
        <f t="shared" si="9"/>
        <v>22.675576268892904</v>
      </c>
      <c r="BO31" s="227">
        <f t="shared" si="10"/>
        <v>19.600000000000001</v>
      </c>
      <c r="BP31" s="227">
        <f t="shared" si="11"/>
        <v>30.719811064883032</v>
      </c>
      <c r="BQ31" s="227">
        <f t="shared" si="12"/>
        <v>31.86</v>
      </c>
      <c r="BR31" s="227">
        <f t="shared" si="100"/>
        <v>28.171101363079426</v>
      </c>
      <c r="BS31" s="227">
        <f t="shared" si="101"/>
        <v>7.9035325414334938</v>
      </c>
      <c r="BT31" s="227">
        <f t="shared" si="13"/>
        <v>28.055461657568458</v>
      </c>
      <c r="BV31" s="231">
        <f t="shared" si="102"/>
        <v>0.26</v>
      </c>
      <c r="BW31" s="231">
        <f t="shared" si="103"/>
        <v>0.31715586008318586</v>
      </c>
      <c r="BX31" s="231">
        <f t="shared" si="104"/>
        <v>0.3179458745519716</v>
      </c>
      <c r="BY31" s="231">
        <f t="shared" si="105"/>
        <v>0.26</v>
      </c>
      <c r="BZ31" s="231">
        <f t="shared" si="106"/>
        <v>0.32930814079205845</v>
      </c>
      <c r="CA31" s="231">
        <f t="shared" si="107"/>
        <v>0.32250594768570257</v>
      </c>
      <c r="CB31" s="231">
        <f t="shared" si="108"/>
        <v>0.48</v>
      </c>
      <c r="CC31" s="231">
        <f t="shared" si="109"/>
        <v>0.48279535789116623</v>
      </c>
      <c r="CD31" s="231">
        <f t="shared" si="110"/>
        <v>0.34621389762551064</v>
      </c>
      <c r="CE31" s="231">
        <f t="shared" si="111"/>
        <v>8.7757955230099868E-2</v>
      </c>
      <c r="CF31" s="231">
        <f t="shared" si="14"/>
        <v>25.347900772321118</v>
      </c>
      <c r="CH31" s="232">
        <f t="shared" si="112"/>
        <v>1.4923296008439526</v>
      </c>
      <c r="CI31" s="232">
        <f t="shared" si="113"/>
        <v>1.52</v>
      </c>
      <c r="CJ31" s="232">
        <f t="shared" si="114"/>
        <v>2.1</v>
      </c>
      <c r="CK31" s="232">
        <f t="shared" si="115"/>
        <v>1.9357312490544369</v>
      </c>
      <c r="CL31" s="232">
        <f t="shared" si="116"/>
        <v>1.9346800445207146</v>
      </c>
      <c r="CM31" s="232">
        <f t="shared" si="117"/>
        <v>1.5025534447701603</v>
      </c>
      <c r="CN31" s="232">
        <f t="shared" si="118"/>
        <v>1.4952532646385321</v>
      </c>
      <c r="CO31" s="232">
        <f t="shared" si="119"/>
        <v>1.8370090278335567</v>
      </c>
      <c r="CP31" s="232">
        <f t="shared" si="120"/>
        <v>1.52</v>
      </c>
      <c r="CQ31" s="232">
        <f t="shared" si="121"/>
        <v>1.5093752905970288</v>
      </c>
      <c r="CR31" s="232">
        <f t="shared" si="122"/>
        <v>1.6846931922258381</v>
      </c>
      <c r="CS31" s="232">
        <f t="shared" si="123"/>
        <v>0.23857064583251081</v>
      </c>
      <c r="CT31" s="232">
        <f t="shared" si="15"/>
        <v>14.161073774941077</v>
      </c>
      <c r="CV31" s="229">
        <f t="shared" si="16"/>
        <v>0.83</v>
      </c>
      <c r="CW31" s="229">
        <f t="shared" si="17"/>
        <v>1.19</v>
      </c>
      <c r="CX31" s="229">
        <f t="shared" si="18"/>
        <v>0.70355152512142849</v>
      </c>
      <c r="CY31" s="229">
        <f t="shared" si="19"/>
        <v>0.55056703001261609</v>
      </c>
      <c r="CZ31" s="229">
        <f t="shared" si="20"/>
        <v>1.1765883576473557</v>
      </c>
      <c r="DA31" s="229">
        <f t="shared" si="21"/>
        <v>0.83</v>
      </c>
      <c r="DB31" s="229">
        <f t="shared" si="22"/>
        <v>0.53194463540864423</v>
      </c>
      <c r="DC31" s="229">
        <f t="shared" si="23"/>
        <v>0.89</v>
      </c>
      <c r="DD31" s="229">
        <f t="shared" si="24"/>
        <v>0.83783144352375549</v>
      </c>
      <c r="DE31" s="229">
        <f t="shared" si="25"/>
        <v>0.24949716272997116</v>
      </c>
      <c r="DF31" s="229">
        <f t="shared" si="26"/>
        <v>29.778920886596811</v>
      </c>
      <c r="DH31" s="234">
        <f t="shared" si="124"/>
        <v>3.9960000000000002E-2</v>
      </c>
      <c r="DI31" s="234">
        <f t="shared" si="125"/>
        <v>5.3999999999999999E-2</v>
      </c>
      <c r="DJ31" s="234">
        <f t="shared" si="126"/>
        <v>0.11613214325580051</v>
      </c>
      <c r="DK31" s="234">
        <f t="shared" si="27"/>
        <v>7.0030714418600162E-2</v>
      </c>
      <c r="DL31" s="234">
        <f t="shared" si="28"/>
        <v>4.053747285689608E-2</v>
      </c>
      <c r="DM31" s="234">
        <f t="shared" si="29"/>
        <v>57.885276758121037</v>
      </c>
      <c r="DO31" s="229">
        <f t="shared" si="127"/>
        <v>2.38</v>
      </c>
      <c r="DP31" s="229">
        <f t="shared" si="128"/>
        <v>3.49</v>
      </c>
      <c r="DQ31" s="229">
        <f t="shared" si="129"/>
        <v>3.8329525119464618</v>
      </c>
      <c r="DR31" s="229">
        <f t="shared" si="130"/>
        <v>3.0019762540671193</v>
      </c>
      <c r="DS31" s="229">
        <f t="shared" si="131"/>
        <v>2.6195382706601649</v>
      </c>
      <c r="DT31" s="229">
        <f t="shared" si="132"/>
        <v>2.38</v>
      </c>
      <c r="DU31" s="229">
        <f t="shared" si="133"/>
        <v>1.2203999999999999</v>
      </c>
      <c r="DV31" s="229">
        <f t="shared" si="134"/>
        <v>3.4639509840103813</v>
      </c>
      <c r="DW31" s="229">
        <f t="shared" si="30"/>
        <v>2.7986022525855159</v>
      </c>
      <c r="DX31" s="229">
        <f t="shared" si="31"/>
        <v>0.83710412174399462</v>
      </c>
      <c r="DY31" s="229">
        <f t="shared" si="32"/>
        <v>29.911507466651532</v>
      </c>
      <c r="EA31" s="235">
        <f t="shared" si="135"/>
        <v>0.14000000000000001</v>
      </c>
      <c r="EB31" s="235">
        <f t="shared" si="136"/>
        <v>0.20998317052118945</v>
      </c>
      <c r="EC31" s="235">
        <f t="shared" si="137"/>
        <v>0.14000000000000001</v>
      </c>
      <c r="ED31" s="235">
        <f t="shared" si="138"/>
        <v>0.16427701975855188</v>
      </c>
      <c r="EE31" s="235">
        <f t="shared" si="139"/>
        <v>0.14376689104142154</v>
      </c>
      <c r="EF31" s="235">
        <f t="shared" si="140"/>
        <v>0.15960541626423258</v>
      </c>
      <c r="EG31" s="235">
        <f t="shared" si="141"/>
        <v>2.9913816114814633E-2</v>
      </c>
      <c r="EH31" s="235">
        <f t="shared" si="33"/>
        <v>18.742356503297618</v>
      </c>
      <c r="EJ31" s="229">
        <f t="shared" si="142"/>
        <v>7.5426305676856105</v>
      </c>
      <c r="EK31" s="229">
        <f t="shared" si="143"/>
        <v>15.94156292718028</v>
      </c>
      <c r="EL31" s="229">
        <f t="shared" si="144"/>
        <v>6.91</v>
      </c>
      <c r="EM31" s="229">
        <f t="shared" si="145"/>
        <v>14.4</v>
      </c>
      <c r="EN31" s="229">
        <f t="shared" si="146"/>
        <v>17.399750758979131</v>
      </c>
      <c r="EO31" s="229">
        <f t="shared" si="34"/>
        <v>18.776930048674465</v>
      </c>
      <c r="EP31" s="229">
        <f t="shared" si="147"/>
        <v>19.485980991803693</v>
      </c>
      <c r="EQ31" s="229">
        <f t="shared" si="148"/>
        <v>14.350979327760456</v>
      </c>
      <c r="ER31" s="229">
        <f t="shared" si="149"/>
        <v>5.1560067643077296</v>
      </c>
      <c r="ES31" s="229">
        <f t="shared" si="35"/>
        <v>35.927908796676881</v>
      </c>
      <c r="EU31" s="238">
        <f t="shared" si="191"/>
        <v>1.5645430453195421E-2</v>
      </c>
      <c r="EV31" s="238">
        <f t="shared" si="151"/>
        <v>1.5645430453195421E-2</v>
      </c>
      <c r="EW31" s="238" t="e">
        <f t="shared" si="152"/>
        <v>#DIV/0!</v>
      </c>
      <c r="EX31" s="238" t="e">
        <f t="shared" si="36"/>
        <v>#DIV/0!</v>
      </c>
      <c r="EZ31" s="240">
        <f t="shared" si="153"/>
        <v>2.6753685754446282E-2</v>
      </c>
      <c r="FA31" s="240">
        <f t="shared" si="154"/>
        <v>2.6753685754446282E-2</v>
      </c>
      <c r="FB31" s="240" t="e">
        <f t="shared" si="155"/>
        <v>#DIV/0!</v>
      </c>
      <c r="FC31" s="240" t="e">
        <f t="shared" si="37"/>
        <v>#DIV/0!</v>
      </c>
      <c r="FE31" s="236">
        <f t="shared" si="156"/>
        <v>0.9</v>
      </c>
      <c r="FF31" s="236">
        <f t="shared" si="157"/>
        <v>1.2</v>
      </c>
      <c r="FG31" s="236">
        <f t="shared" si="158"/>
        <v>1.3175704110422877</v>
      </c>
      <c r="FH31" s="236">
        <f t="shared" si="159"/>
        <v>1.2907480123886221</v>
      </c>
      <c r="FI31" s="236">
        <f t="shared" si="160"/>
        <v>0.9</v>
      </c>
      <c r="FJ31" s="236">
        <f t="shared" si="161"/>
        <v>1.0951801317236793</v>
      </c>
      <c r="FK31" s="236">
        <f t="shared" si="38"/>
        <v>1.1172497591924315</v>
      </c>
      <c r="FL31" s="236">
        <f t="shared" si="39"/>
        <v>0.18545058315806867</v>
      </c>
      <c r="FM31" s="236">
        <f t="shared" si="40"/>
        <v>16.59884744948307</v>
      </c>
      <c r="FO31" s="227">
        <f t="shared" si="162"/>
        <v>0.3</v>
      </c>
      <c r="FP31" s="227">
        <f t="shared" si="163"/>
        <v>0.32</v>
      </c>
      <c r="FQ31" s="227">
        <f t="shared" si="164"/>
        <v>0.36293192432968291</v>
      </c>
      <c r="FR31" s="227">
        <f t="shared" si="165"/>
        <v>0.3</v>
      </c>
      <c r="FS31" s="227">
        <f t="shared" si="166"/>
        <v>0.35202218519689693</v>
      </c>
      <c r="FT31" s="227">
        <f t="shared" si="41"/>
        <v>0.32699082190531598</v>
      </c>
      <c r="FU31" s="227">
        <f t="shared" si="42"/>
        <v>2.9258385622222723E-2</v>
      </c>
      <c r="FV31" s="227">
        <f t="shared" si="43"/>
        <v>8.9477696810385794</v>
      </c>
      <c r="FX31" s="230">
        <f t="shared" si="167"/>
        <v>2.94</v>
      </c>
      <c r="FY31" s="230">
        <f t="shared" si="168"/>
        <v>1.6427701975855191</v>
      </c>
      <c r="FZ31" s="230">
        <f t="shared" si="169"/>
        <v>2.94</v>
      </c>
      <c r="GA31" s="230">
        <f t="shared" si="170"/>
        <v>3.7737128865409328</v>
      </c>
      <c r="GB31" s="230">
        <f t="shared" si="44"/>
        <v>2.824120771031613</v>
      </c>
      <c r="GC31" s="230">
        <f t="shared" si="45"/>
        <v>0.88018376010003174</v>
      </c>
      <c r="GD31" s="230">
        <f t="shared" si="46"/>
        <v>31.166647302357138</v>
      </c>
      <c r="GF31" s="231">
        <f t="shared" si="171"/>
        <v>0.06</v>
      </c>
      <c r="GG31" s="231">
        <f t="shared" si="172"/>
        <v>0.05</v>
      </c>
      <c r="GH31" s="231">
        <f t="shared" si="173"/>
        <v>0.06</v>
      </c>
      <c r="GI31" s="231">
        <f t="shared" si="174"/>
        <v>6.2581721812781682E-2</v>
      </c>
      <c r="GJ31" s="245">
        <f t="shared" si="187"/>
        <v>5.8145430453195417E-2</v>
      </c>
      <c r="GK31" s="231">
        <f t="shared" si="188"/>
        <v>5.5649969961912493E-3</v>
      </c>
      <c r="GL31" s="231">
        <f t="shared" si="47"/>
        <v>9.5708243155424455</v>
      </c>
      <c r="GN31" s="246">
        <f t="shared" si="175"/>
        <v>0.18</v>
      </c>
      <c r="GO31" s="246">
        <f t="shared" si="176"/>
        <v>0.18</v>
      </c>
      <c r="GP31" s="246">
        <f t="shared" si="177"/>
        <v>0.16427701975855188</v>
      </c>
      <c r="GQ31" s="247">
        <f t="shared" si="189"/>
        <v>0.17475900658618396</v>
      </c>
      <c r="GR31" s="246">
        <f t="shared" si="190"/>
        <v>9.0776668748632338E-3</v>
      </c>
      <c r="GS31" s="246">
        <f t="shared" si="48"/>
        <v>5.1943914377806344</v>
      </c>
      <c r="GU31" s="249">
        <f t="shared" si="178"/>
        <v>2.1434239720877723E-2</v>
      </c>
      <c r="GV31" s="249">
        <f t="shared" si="179"/>
        <v>2.1434239720877723E-2</v>
      </c>
      <c r="GW31" s="249" t="e">
        <f t="shared" si="180"/>
        <v>#DIV/0!</v>
      </c>
      <c r="GX31" s="249" t="e">
        <f t="shared" si="49"/>
        <v>#DIV/0!</v>
      </c>
      <c r="GZ31" s="240">
        <f t="shared" si="181"/>
        <v>2.3468145679793131E-2</v>
      </c>
      <c r="HA31" s="240">
        <f t="shared" si="182"/>
        <v>2.3468145679793131E-2</v>
      </c>
      <c r="HB31" s="240" t="e">
        <f t="shared" si="183"/>
        <v>#DIV/0!</v>
      </c>
      <c r="HC31" s="240" t="e">
        <f t="shared" si="50"/>
        <v>#DIV/0!</v>
      </c>
      <c r="HE31" s="234">
        <f t="shared" si="184"/>
        <v>9.2660111196512726E-2</v>
      </c>
      <c r="HF31" s="251">
        <f t="shared" si="185"/>
        <v>9.2660111196512726E-2</v>
      </c>
      <c r="HG31" s="234" t="e">
        <f t="shared" si="186"/>
        <v>#DIV/0!</v>
      </c>
      <c r="HH31" s="234" t="e">
        <f t="shared" si="51"/>
        <v>#DIV/0!</v>
      </c>
    </row>
    <row r="32" spans="2:216" ht="15.6" x14ac:dyDescent="0.25">
      <c r="B32">
        <v>28</v>
      </c>
      <c r="C32" s="124">
        <f t="shared" si="52"/>
        <v>78.264871870261032</v>
      </c>
      <c r="D32" s="124">
        <f t="shared" si="53"/>
        <v>181.47543842100001</v>
      </c>
      <c r="E32" s="29">
        <f t="shared" si="54"/>
        <v>2.0172232659703209</v>
      </c>
      <c r="F32" s="29">
        <f t="shared" si="0"/>
        <v>1.9896431516733097</v>
      </c>
      <c r="G32" s="29">
        <f t="shared" si="1"/>
        <v>1.992008071155642</v>
      </c>
      <c r="H32" s="29">
        <f t="shared" si="2"/>
        <v>2.0172232659703209</v>
      </c>
      <c r="I32" s="29">
        <f t="shared" si="3"/>
        <v>1.9862829562064896</v>
      </c>
      <c r="J32" s="125">
        <f t="shared" si="4"/>
        <v>2.0004761421952164</v>
      </c>
      <c r="K32" s="126">
        <f t="shared" si="5"/>
        <v>1.5422716595714626E-2</v>
      </c>
      <c r="L32" s="126">
        <f t="shared" si="55"/>
        <v>0.77095228832824547</v>
      </c>
      <c r="N32" s="138">
        <f t="shared" si="56"/>
        <v>420.09998986099555</v>
      </c>
      <c r="O32" s="138">
        <f t="shared" si="57"/>
        <v>325.79239999999999</v>
      </c>
      <c r="P32" s="138">
        <f t="shared" si="58"/>
        <v>391.17192093000239</v>
      </c>
      <c r="Q32" s="138">
        <f t="shared" si="59"/>
        <v>417.05607895361618</v>
      </c>
      <c r="R32" s="138">
        <f t="shared" si="60"/>
        <v>420.09998986099555</v>
      </c>
      <c r="S32" s="138">
        <f t="shared" si="61"/>
        <v>389.5965767518299</v>
      </c>
      <c r="T32" s="138">
        <f t="shared" si="62"/>
        <v>393.96949272623993</v>
      </c>
      <c r="U32" s="138">
        <f t="shared" si="63"/>
        <v>36.259236062911455</v>
      </c>
      <c r="V32" s="138">
        <f t="shared" si="64"/>
        <v>9.2035644211941907</v>
      </c>
      <c r="X32" s="227">
        <f t="shared" si="65"/>
        <v>0.44527026079999998</v>
      </c>
      <c r="Y32" s="227">
        <f t="shared" si="66"/>
        <v>0.47</v>
      </c>
      <c r="Z32" s="227">
        <f t="shared" si="67"/>
        <v>0.44527026079999998</v>
      </c>
      <c r="AA32" s="227">
        <f t="shared" si="68"/>
        <v>0.4535135072</v>
      </c>
      <c r="AB32" s="227">
        <f t="shared" si="69"/>
        <v>1.4277721584109233E-2</v>
      </c>
      <c r="AC32" s="227">
        <f t="shared" si="70"/>
        <v>3.1482461618971675</v>
      </c>
      <c r="AE32" s="228">
        <f t="shared" si="71"/>
        <v>4.4743437368935073</v>
      </c>
      <c r="AF32" s="228">
        <f t="shared" si="72"/>
        <v>5.2850000000000001</v>
      </c>
      <c r="AG32" s="228">
        <f t="shared" si="73"/>
        <v>4.4743437368935073</v>
      </c>
      <c r="AH32" s="228">
        <f t="shared" si="74"/>
        <v>7.0182154337327924</v>
      </c>
      <c r="AI32" s="228">
        <f t="shared" si="75"/>
        <v>5.2850000000000001</v>
      </c>
      <c r="AJ32" s="228">
        <f t="shared" si="76"/>
        <v>5.9559565156350267</v>
      </c>
      <c r="AK32" s="228">
        <f t="shared" si="77"/>
        <v>5.5203637297264825</v>
      </c>
      <c r="AL32" s="228">
        <f t="shared" si="78"/>
        <v>5.4304604504116165</v>
      </c>
      <c r="AM32" s="228">
        <f t="shared" si="79"/>
        <v>0.88278257291582762</v>
      </c>
      <c r="AN32" s="228">
        <f t="shared" si="80"/>
        <v>16.25612746795559</v>
      </c>
      <c r="AP32" s="229">
        <f t="shared" si="192"/>
        <v>1.3964785953837051</v>
      </c>
      <c r="AQ32" s="229">
        <f t="shared" si="193"/>
        <v>1.4</v>
      </c>
      <c r="AR32" s="229">
        <f t="shared" si="194"/>
        <v>1.47</v>
      </c>
      <c r="AS32" s="229">
        <f t="shared" si="195"/>
        <v>1.4827439413163115</v>
      </c>
      <c r="AT32" s="229">
        <f t="shared" si="196"/>
        <v>1.3964785953837051</v>
      </c>
      <c r="AU32" s="229">
        <f t="shared" si="197"/>
        <v>0.53184975018190173</v>
      </c>
      <c r="AV32" s="229">
        <f t="shared" si="198"/>
        <v>1.4</v>
      </c>
      <c r="AW32" s="229">
        <f t="shared" si="199"/>
        <v>1.4499950922247276</v>
      </c>
      <c r="AX32" s="229">
        <f t="shared" si="200"/>
        <v>1.4523351895265062</v>
      </c>
      <c r="AY32" s="229">
        <f t="shared" si="90"/>
        <v>1.331097907112984</v>
      </c>
      <c r="AZ32" s="229">
        <f t="shared" si="91"/>
        <v>0.30165526937552534</v>
      </c>
      <c r="BA32" s="229">
        <f t="shared" si="92"/>
        <v>22.6621398594026</v>
      </c>
      <c r="BC32" s="230">
        <f t="shared" si="93"/>
        <v>9.65</v>
      </c>
      <c r="BD32" s="230">
        <f t="shared" si="94"/>
        <v>11.73</v>
      </c>
      <c r="BE32" s="230">
        <f t="shared" si="95"/>
        <v>9.65</v>
      </c>
      <c r="BF32" s="230">
        <f t="shared" si="96"/>
        <v>9.2001190662565122</v>
      </c>
      <c r="BG32" s="230">
        <f t="shared" si="97"/>
        <v>10.057529766564128</v>
      </c>
      <c r="BH32" s="230">
        <f t="shared" si="98"/>
        <v>1.1349700160507417</v>
      </c>
      <c r="BI32" s="230">
        <f t="shared" si="99"/>
        <v>11.284779089830845</v>
      </c>
      <c r="BK32" s="227">
        <f t="shared" si="6"/>
        <v>19.600000000000001</v>
      </c>
      <c r="BL32" s="227">
        <f t="shared" si="7"/>
        <v>31.73</v>
      </c>
      <c r="BM32" s="227">
        <f t="shared" si="8"/>
        <v>40.988751585466424</v>
      </c>
      <c r="BN32" s="227">
        <f t="shared" si="9"/>
        <v>22.67925693951015</v>
      </c>
      <c r="BO32" s="227">
        <f t="shared" si="10"/>
        <v>19.600000000000001</v>
      </c>
      <c r="BP32" s="227">
        <f t="shared" si="11"/>
        <v>30.754194649710307</v>
      </c>
      <c r="BQ32" s="227">
        <f t="shared" si="12"/>
        <v>31.86</v>
      </c>
      <c r="BR32" s="227">
        <f t="shared" si="100"/>
        <v>28.173171882098131</v>
      </c>
      <c r="BS32" s="227">
        <f t="shared" si="101"/>
        <v>7.8985878814712986</v>
      </c>
      <c r="BT32" s="227">
        <f t="shared" si="13"/>
        <v>28.035848837064169</v>
      </c>
      <c r="BV32" s="231">
        <f t="shared" si="102"/>
        <v>0.26</v>
      </c>
      <c r="BW32" s="231">
        <f t="shared" si="103"/>
        <v>0.31679171641778392</v>
      </c>
      <c r="BX32" s="231">
        <f t="shared" si="104"/>
        <v>0.31805552542917348</v>
      </c>
      <c r="BY32" s="231">
        <f t="shared" si="105"/>
        <v>0.26</v>
      </c>
      <c r="BZ32" s="231">
        <f t="shared" si="106"/>
        <v>0.32931914626626418</v>
      </c>
      <c r="CA32" s="231">
        <f t="shared" si="107"/>
        <v>0.32215962108360535</v>
      </c>
      <c r="CB32" s="231">
        <f t="shared" si="108"/>
        <v>0.48</v>
      </c>
      <c r="CC32" s="231">
        <f t="shared" si="109"/>
        <v>0.48189442227612717</v>
      </c>
      <c r="CD32" s="231">
        <f t="shared" si="110"/>
        <v>0.34602755393411921</v>
      </c>
      <c r="CE32" s="231">
        <f t="shared" si="111"/>
        <v>8.7583364344272066E-2</v>
      </c>
      <c r="CF32" s="231">
        <f t="shared" si="14"/>
        <v>25.311095416680956</v>
      </c>
      <c r="CH32" s="232">
        <f t="shared" si="112"/>
        <v>1.4915825451495603</v>
      </c>
      <c r="CI32" s="232">
        <f t="shared" si="113"/>
        <v>1.52</v>
      </c>
      <c r="CJ32" s="232">
        <f t="shared" si="114"/>
        <v>2.1</v>
      </c>
      <c r="CK32" s="232">
        <f t="shared" si="115"/>
        <v>1.9359746946942717</v>
      </c>
      <c r="CL32" s="232">
        <f t="shared" si="116"/>
        <v>1.9312052713024235</v>
      </c>
      <c r="CM32" s="232">
        <f t="shared" si="117"/>
        <v>1.5031185262936202</v>
      </c>
      <c r="CN32" s="232">
        <f t="shared" si="118"/>
        <v>1.4945047453668676</v>
      </c>
      <c r="CO32" s="232">
        <f t="shared" si="119"/>
        <v>1.837857900443693</v>
      </c>
      <c r="CP32" s="232">
        <f t="shared" si="120"/>
        <v>1.52</v>
      </c>
      <c r="CQ32" s="232">
        <f t="shared" si="121"/>
        <v>1.5083706322819734</v>
      </c>
      <c r="CR32" s="232">
        <f t="shared" si="122"/>
        <v>1.6842614315532409</v>
      </c>
      <c r="CS32" s="232">
        <f t="shared" si="123"/>
        <v>0.23842491801757226</v>
      </c>
      <c r="CT32" s="232">
        <f t="shared" si="15"/>
        <v>14.156051640848574</v>
      </c>
      <c r="CV32" s="229">
        <f t="shared" si="16"/>
        <v>0.83</v>
      </c>
      <c r="CW32" s="229">
        <f t="shared" si="17"/>
        <v>1.19</v>
      </c>
      <c r="CX32" s="229">
        <f t="shared" si="18"/>
        <v>0.70521604103199054</v>
      </c>
      <c r="CY32" s="229">
        <f t="shared" si="19"/>
        <v>0.54965059631201951</v>
      </c>
      <c r="CZ32" s="229">
        <f t="shared" si="20"/>
        <v>1.1770213641033442</v>
      </c>
      <c r="DA32" s="229">
        <f t="shared" si="21"/>
        <v>0.83</v>
      </c>
      <c r="DB32" s="229">
        <f t="shared" si="22"/>
        <v>0.53220112871777503</v>
      </c>
      <c r="DC32" s="229">
        <f t="shared" si="23"/>
        <v>0.89</v>
      </c>
      <c r="DD32" s="229">
        <f t="shared" si="24"/>
        <v>0.83801114127064114</v>
      </c>
      <c r="DE32" s="229">
        <f t="shared" si="25"/>
        <v>0.2495600106385476</v>
      </c>
      <c r="DF32" s="229">
        <f t="shared" si="26"/>
        <v>29.780034936069015</v>
      </c>
      <c r="DH32" s="234">
        <f t="shared" si="124"/>
        <v>4.1439999999999998E-2</v>
      </c>
      <c r="DI32" s="234">
        <f t="shared" si="125"/>
        <v>5.6000000000000001E-2</v>
      </c>
      <c r="DJ32" s="234">
        <f t="shared" si="126"/>
        <v>0.11600523141169417</v>
      </c>
      <c r="DK32" s="234">
        <f t="shared" si="27"/>
        <v>7.1148410470564721E-2</v>
      </c>
      <c r="DL32" s="234">
        <f t="shared" si="28"/>
        <v>3.9523400520557597E-2</v>
      </c>
      <c r="DM32" s="234">
        <f t="shared" si="29"/>
        <v>55.550644433453769</v>
      </c>
      <c r="DO32" s="229">
        <f t="shared" si="127"/>
        <v>2.38</v>
      </c>
      <c r="DP32" s="229">
        <f t="shared" si="128"/>
        <v>3.49</v>
      </c>
      <c r="DQ32" s="229">
        <f t="shared" si="129"/>
        <v>3.8313377785281508</v>
      </c>
      <c r="DR32" s="229">
        <f t="shared" si="130"/>
        <v>3.0007142132928242</v>
      </c>
      <c r="DS32" s="229">
        <f t="shared" si="131"/>
        <v>2.6205231594984597</v>
      </c>
      <c r="DT32" s="229">
        <f t="shared" si="132"/>
        <v>2.38</v>
      </c>
      <c r="DU32" s="229">
        <f t="shared" si="133"/>
        <v>1.2655999999999998</v>
      </c>
      <c r="DV32" s="229">
        <f t="shared" si="134"/>
        <v>3.4591746122574016</v>
      </c>
      <c r="DW32" s="229">
        <f t="shared" si="30"/>
        <v>2.8034187204471044</v>
      </c>
      <c r="DX32" s="229">
        <f t="shared" si="31"/>
        <v>0.82408882785450588</v>
      </c>
      <c r="DY32" s="229">
        <f t="shared" si="32"/>
        <v>29.395852351413126</v>
      </c>
      <c r="EA32" s="235">
        <f t="shared" si="135"/>
        <v>0.14000000000000001</v>
      </c>
      <c r="EB32" s="235">
        <f t="shared" si="136"/>
        <v>0.2100679769946176</v>
      </c>
      <c r="EC32" s="235">
        <f t="shared" si="137"/>
        <v>0.14000000000000001</v>
      </c>
      <c r="ED32" s="235">
        <f t="shared" si="138"/>
        <v>0.16435623092754817</v>
      </c>
      <c r="EE32" s="235">
        <f t="shared" si="139"/>
        <v>0.14362218866129364</v>
      </c>
      <c r="EF32" s="235">
        <f t="shared" si="140"/>
        <v>0.15960927931669189</v>
      </c>
      <c r="EG32" s="235">
        <f t="shared" si="141"/>
        <v>2.9971855378054819E-2</v>
      </c>
      <c r="EH32" s="235">
        <f t="shared" si="33"/>
        <v>18.778266217583486</v>
      </c>
      <c r="EJ32" s="229">
        <f t="shared" si="142"/>
        <v>7.5426305676856105</v>
      </c>
      <c r="EK32" s="229">
        <f t="shared" si="143"/>
        <v>15.947004534442035</v>
      </c>
      <c r="EL32" s="229">
        <f t="shared" si="144"/>
        <v>6.91</v>
      </c>
      <c r="EM32" s="229">
        <f t="shared" si="145"/>
        <v>14.4</v>
      </c>
      <c r="EN32" s="229">
        <f t="shared" si="146"/>
        <v>17.628051381652021</v>
      </c>
      <c r="EO32" s="229">
        <f t="shared" si="34"/>
        <v>18.859892594631603</v>
      </c>
      <c r="EP32" s="229">
        <f t="shared" si="147"/>
        <v>19.511581885460814</v>
      </c>
      <c r="EQ32" s="229">
        <f t="shared" si="148"/>
        <v>14.399880137696012</v>
      </c>
      <c r="ER32" s="229">
        <f t="shared" si="149"/>
        <v>5.1954477752204964</v>
      </c>
      <c r="ES32" s="229">
        <f t="shared" si="35"/>
        <v>36.079798759017798</v>
      </c>
      <c r="EU32" s="238">
        <f t="shared" si="191"/>
        <v>1.5652974374052206E-2</v>
      </c>
      <c r="EV32" s="238">
        <f t="shared" si="151"/>
        <v>1.5652974374052206E-2</v>
      </c>
      <c r="EW32" s="238" t="e">
        <f t="shared" si="152"/>
        <v>#DIV/0!</v>
      </c>
      <c r="EX32" s="238" t="e">
        <f t="shared" si="36"/>
        <v>#DIV/0!</v>
      </c>
      <c r="EZ32" s="240">
        <f t="shared" si="153"/>
        <v>2.676658610211825E-2</v>
      </c>
      <c r="FA32" s="240">
        <f t="shared" si="154"/>
        <v>2.676658610211825E-2</v>
      </c>
      <c r="FB32" s="240" t="e">
        <f t="shared" si="155"/>
        <v>#DIV/0!</v>
      </c>
      <c r="FC32" s="240" t="e">
        <f t="shared" si="37"/>
        <v>#DIV/0!</v>
      </c>
      <c r="FE32" s="236">
        <f t="shared" si="156"/>
        <v>0.9</v>
      </c>
      <c r="FF32" s="236">
        <f t="shared" si="157"/>
        <v>1.2</v>
      </c>
      <c r="FG32" s="236">
        <f t="shared" si="158"/>
        <v>1.3171644528888291</v>
      </c>
      <c r="FH32" s="236">
        <f t="shared" si="159"/>
        <v>1.2913703858593071</v>
      </c>
      <c r="FI32" s="236">
        <f t="shared" si="160"/>
        <v>0.9</v>
      </c>
      <c r="FJ32" s="236">
        <f t="shared" si="161"/>
        <v>1.0957082061836545</v>
      </c>
      <c r="FK32" s="236">
        <f t="shared" si="38"/>
        <v>1.1173738408219651</v>
      </c>
      <c r="FL32" s="236">
        <f t="shared" si="39"/>
        <v>0.18546716238038782</v>
      </c>
      <c r="FM32" s="236">
        <f t="shared" si="40"/>
        <v>16.598487954931361</v>
      </c>
      <c r="FO32" s="227">
        <f t="shared" si="162"/>
        <v>0.3</v>
      </c>
      <c r="FP32" s="227">
        <f t="shared" si="163"/>
        <v>0.32</v>
      </c>
      <c r="FQ32" s="227">
        <f t="shared" si="164"/>
        <v>0.36257354494874366</v>
      </c>
      <c r="FR32" s="227">
        <f t="shared" si="165"/>
        <v>0.3</v>
      </c>
      <c r="FS32" s="227">
        <f t="shared" si="166"/>
        <v>0.35219192341617461</v>
      </c>
      <c r="FT32" s="227">
        <f t="shared" si="41"/>
        <v>0.32695309367298364</v>
      </c>
      <c r="FU32" s="227">
        <f t="shared" si="42"/>
        <v>2.9185180762713817E-2</v>
      </c>
      <c r="FV32" s="227">
        <f t="shared" si="43"/>
        <v>8.9264121757797597</v>
      </c>
      <c r="FX32" s="230">
        <f t="shared" si="167"/>
        <v>2.94</v>
      </c>
      <c r="FY32" s="230">
        <f t="shared" si="168"/>
        <v>1.6435623092754819</v>
      </c>
      <c r="FZ32" s="230">
        <f t="shared" si="169"/>
        <v>2.94</v>
      </c>
      <c r="GA32" s="230">
        <f t="shared" si="170"/>
        <v>3.7901237786222297</v>
      </c>
      <c r="GB32" s="230">
        <f t="shared" si="44"/>
        <v>2.8284215219744278</v>
      </c>
      <c r="GC32" s="230">
        <f t="shared" si="45"/>
        <v>0.88575054762915617</v>
      </c>
      <c r="GD32" s="230">
        <f t="shared" si="46"/>
        <v>31.31607296676356</v>
      </c>
      <c r="GF32" s="231">
        <f t="shared" si="171"/>
        <v>0.06</v>
      </c>
      <c r="GG32" s="231">
        <f t="shared" si="172"/>
        <v>0.05</v>
      </c>
      <c r="GH32" s="231">
        <f t="shared" si="173"/>
        <v>0.06</v>
      </c>
      <c r="GI32" s="231">
        <f t="shared" si="174"/>
        <v>6.2611897496208824E-2</v>
      </c>
      <c r="GJ32" s="245">
        <f t="shared" si="187"/>
        <v>5.8152974374052202E-2</v>
      </c>
      <c r="GK32" s="231">
        <f t="shared" si="188"/>
        <v>5.5730301117396476E-3</v>
      </c>
      <c r="GL32" s="231">
        <f t="shared" si="47"/>
        <v>9.5833965016006601</v>
      </c>
      <c r="GN32" s="246">
        <f t="shared" si="175"/>
        <v>0.18</v>
      </c>
      <c r="GO32" s="246">
        <f t="shared" si="176"/>
        <v>0.18</v>
      </c>
      <c r="GP32" s="246">
        <f t="shared" si="177"/>
        <v>0.16435623092754817</v>
      </c>
      <c r="GQ32" s="247">
        <f t="shared" si="189"/>
        <v>0.17478541030918271</v>
      </c>
      <c r="GR32" s="246">
        <f t="shared" si="190"/>
        <v>9.0319342851204031E-3</v>
      </c>
      <c r="GS32" s="246">
        <f t="shared" si="48"/>
        <v>5.1674417613824675</v>
      </c>
      <c r="GU32" s="249">
        <f t="shared" si="178"/>
        <v>2.1444574892451523E-2</v>
      </c>
      <c r="GV32" s="249">
        <f t="shared" si="179"/>
        <v>2.1444574892451523E-2</v>
      </c>
      <c r="GW32" s="249" t="e">
        <f t="shared" si="180"/>
        <v>#DIV/0!</v>
      </c>
      <c r="GX32" s="249" t="e">
        <f t="shared" si="49"/>
        <v>#DIV/0!</v>
      </c>
      <c r="GZ32" s="240">
        <f t="shared" si="181"/>
        <v>2.3479461561078312E-2</v>
      </c>
      <c r="HA32" s="240">
        <f t="shared" si="182"/>
        <v>2.3479461561078312E-2</v>
      </c>
      <c r="HB32" s="240" t="e">
        <f t="shared" si="183"/>
        <v>#DIV/0!</v>
      </c>
      <c r="HC32" s="240" t="e">
        <f t="shared" si="50"/>
        <v>#DIV/0!</v>
      </c>
      <c r="HE32" s="234">
        <f t="shared" si="184"/>
        <v>9.2704997525610608E-2</v>
      </c>
      <c r="HF32" s="251">
        <f t="shared" si="185"/>
        <v>9.2704997525610608E-2</v>
      </c>
      <c r="HG32" s="234" t="e">
        <f t="shared" si="186"/>
        <v>#DIV/0!</v>
      </c>
      <c r="HH32" s="234" t="e">
        <f t="shared" si="51"/>
        <v>#DIV/0!</v>
      </c>
    </row>
    <row r="33" spans="2:216" ht="15.6" x14ac:dyDescent="0.25">
      <c r="B33">
        <v>29</v>
      </c>
      <c r="C33" s="124">
        <f t="shared" si="52"/>
        <v>78.275058568591945</v>
      </c>
      <c r="D33" s="124">
        <f t="shared" si="53"/>
        <v>181.11850030889028</v>
      </c>
      <c r="E33" s="29">
        <f t="shared" si="54"/>
        <v>2.015692329620967</v>
      </c>
      <c r="F33" s="29">
        <f t="shared" si="0"/>
        <v>1.9869150939393929</v>
      </c>
      <c r="G33" s="29">
        <f t="shared" si="1"/>
        <v>1.9904871383661171</v>
      </c>
      <c r="H33" s="29">
        <f t="shared" si="2"/>
        <v>2.015692329620967</v>
      </c>
      <c r="I33" s="29">
        <f t="shared" si="3"/>
        <v>1.9844577498605622</v>
      </c>
      <c r="J33" s="125">
        <f t="shared" si="4"/>
        <v>1.9986489282816009</v>
      </c>
      <c r="K33" s="126">
        <f t="shared" si="5"/>
        <v>1.5705431277125429E-2</v>
      </c>
      <c r="L33" s="126">
        <f t="shared" si="55"/>
        <v>0.78580240155676828</v>
      </c>
      <c r="N33" s="138">
        <f t="shared" si="56"/>
        <v>419.71627493913627</v>
      </c>
      <c r="O33" s="138">
        <f t="shared" si="57"/>
        <v>325.79239999999999</v>
      </c>
      <c r="P33" s="138">
        <f t="shared" si="58"/>
        <v>389.18016419536389</v>
      </c>
      <c r="Q33" s="138">
        <f t="shared" si="59"/>
        <v>417.09738197755541</v>
      </c>
      <c r="R33" s="138">
        <f t="shared" si="60"/>
        <v>419.71627493913627</v>
      </c>
      <c r="S33" s="138">
        <f t="shared" si="61"/>
        <v>390.70238402780376</v>
      </c>
      <c r="T33" s="138">
        <f t="shared" si="62"/>
        <v>393.70081334649927</v>
      </c>
      <c r="U33" s="138">
        <f t="shared" si="63"/>
        <v>36.171777279612726</v>
      </c>
      <c r="V33" s="138">
        <f t="shared" si="64"/>
        <v>9.187630823555768</v>
      </c>
      <c r="X33" s="227">
        <f t="shared" si="65"/>
        <v>0.44634756835</v>
      </c>
      <c r="Y33" s="227">
        <f t="shared" si="66"/>
        <v>0.47</v>
      </c>
      <c r="Z33" s="227">
        <f t="shared" si="67"/>
        <v>0.44634756835</v>
      </c>
      <c r="AA33" s="227">
        <f t="shared" si="68"/>
        <v>0.45423171223333331</v>
      </c>
      <c r="AB33" s="227">
        <f t="shared" si="69"/>
        <v>1.3655737780116708E-2</v>
      </c>
      <c r="AC33" s="227">
        <f t="shared" si="70"/>
        <v>3.0063373851585955</v>
      </c>
      <c r="AE33" s="228">
        <f t="shared" si="71"/>
        <v>4.4694065122549409</v>
      </c>
      <c r="AF33" s="228">
        <f t="shared" si="72"/>
        <v>5.2850000000000001</v>
      </c>
      <c r="AG33" s="228">
        <f t="shared" si="73"/>
        <v>4.4694065122549409</v>
      </c>
      <c r="AH33" s="228">
        <f t="shared" si="74"/>
        <v>7.0191286225767477</v>
      </c>
      <c r="AI33" s="228">
        <f t="shared" si="75"/>
        <v>5.2850000000000001</v>
      </c>
      <c r="AJ33" s="228">
        <f t="shared" si="76"/>
        <v>5.9567318277700823</v>
      </c>
      <c r="AK33" s="228">
        <f t="shared" si="77"/>
        <v>5.5146235199789917</v>
      </c>
      <c r="AL33" s="228">
        <f t="shared" si="78"/>
        <v>5.4284709992622435</v>
      </c>
      <c r="AM33" s="228">
        <f t="shared" si="79"/>
        <v>0.88482113730271117</v>
      </c>
      <c r="AN33" s="228">
        <f t="shared" si="80"/>
        <v>16.299638285310223</v>
      </c>
      <c r="AP33" s="229">
        <f t="shared" si="192"/>
        <v>1.3980827928271653</v>
      </c>
      <c r="AQ33" s="229">
        <f t="shared" si="193"/>
        <v>1.4</v>
      </c>
      <c r="AR33" s="229">
        <f t="shared" si="194"/>
        <v>1.47</v>
      </c>
      <c r="AS33" s="229">
        <f t="shared" si="195"/>
        <v>1.4780416419109175</v>
      </c>
      <c r="AT33" s="229">
        <f t="shared" si="196"/>
        <v>1.3980827928271653</v>
      </c>
      <c r="AU33" s="229">
        <f t="shared" si="197"/>
        <v>0.55079044709650482</v>
      </c>
      <c r="AV33" s="229">
        <f t="shared" si="198"/>
        <v>1.4</v>
      </c>
      <c r="AW33" s="229">
        <f t="shared" si="199"/>
        <v>1.4499968392139782</v>
      </c>
      <c r="AX33" s="229">
        <f t="shared" si="200"/>
        <v>1.4500280650088628</v>
      </c>
      <c r="AY33" s="229">
        <f t="shared" si="90"/>
        <v>1.3327802865427327</v>
      </c>
      <c r="AZ33" s="229">
        <f t="shared" si="91"/>
        <v>0.29506160295475092</v>
      </c>
      <c r="BA33" s="229">
        <f t="shared" si="92"/>
        <v>22.138803067094315</v>
      </c>
      <c r="BC33" s="230">
        <f t="shared" si="93"/>
        <v>9.65</v>
      </c>
      <c r="BD33" s="230">
        <f t="shared" si="94"/>
        <v>11.73</v>
      </c>
      <c r="BE33" s="230">
        <f t="shared" si="95"/>
        <v>9.65</v>
      </c>
      <c r="BF33" s="230">
        <f t="shared" si="96"/>
        <v>9.2001216014807206</v>
      </c>
      <c r="BG33" s="230">
        <f t="shared" si="97"/>
        <v>10.05753040037018</v>
      </c>
      <c r="BH33" s="230">
        <f t="shared" si="98"/>
        <v>1.1349693776413463</v>
      </c>
      <c r="BI33" s="230">
        <f t="shared" si="99"/>
        <v>11.284772031109867</v>
      </c>
      <c r="BK33" s="227">
        <f t="shared" si="6"/>
        <v>19.600000000000001</v>
      </c>
      <c r="BL33" s="227">
        <f t="shared" si="7"/>
        <v>31.73</v>
      </c>
      <c r="BM33" s="227">
        <f t="shared" si="8"/>
        <v>40.944051353372352</v>
      </c>
      <c r="BN33" s="227">
        <f t="shared" si="9"/>
        <v>22.680250164753215</v>
      </c>
      <c r="BO33" s="227">
        <f t="shared" si="10"/>
        <v>19.600000000000001</v>
      </c>
      <c r="BP33" s="227">
        <f t="shared" si="11"/>
        <v>30.764010610466556</v>
      </c>
      <c r="BQ33" s="227">
        <f t="shared" si="12"/>
        <v>31.86</v>
      </c>
      <c r="BR33" s="227">
        <f t="shared" si="100"/>
        <v>28.168330304084595</v>
      </c>
      <c r="BS33" s="227">
        <f t="shared" si="101"/>
        <v>7.8869313082276182</v>
      </c>
      <c r="BT33" s="227">
        <f t="shared" si="13"/>
        <v>27.999285804611436</v>
      </c>
      <c r="BV33" s="231">
        <f t="shared" si="102"/>
        <v>0.26</v>
      </c>
      <c r="BW33" s="231">
        <f t="shared" si="103"/>
        <v>0.31633118004864041</v>
      </c>
      <c r="BX33" s="231">
        <f t="shared" si="104"/>
        <v>0.31808514366132828</v>
      </c>
      <c r="BY33" s="231">
        <f t="shared" si="105"/>
        <v>0.26</v>
      </c>
      <c r="BZ33" s="231">
        <f t="shared" si="106"/>
        <v>0.3292431598551685</v>
      </c>
      <c r="CA33" s="231">
        <f t="shared" si="107"/>
        <v>0.32155896894993552</v>
      </c>
      <c r="CB33" s="231">
        <f t="shared" si="108"/>
        <v>0.48</v>
      </c>
      <c r="CC33" s="231">
        <f t="shared" si="109"/>
        <v>0.4805569814315761</v>
      </c>
      <c r="CD33" s="231">
        <f t="shared" si="110"/>
        <v>0.34572192924333106</v>
      </c>
      <c r="CE33" s="231">
        <f t="shared" si="111"/>
        <v>8.7334002899669569E-2</v>
      </c>
      <c r="CF33" s="231">
        <f t="shared" si="14"/>
        <v>25.261343152519807</v>
      </c>
      <c r="CH33" s="232">
        <f t="shared" si="112"/>
        <v>1.4899601365235766</v>
      </c>
      <c r="CI33" s="232">
        <f t="shared" si="113"/>
        <v>1.52</v>
      </c>
      <c r="CJ33" s="232">
        <f t="shared" si="114"/>
        <v>2.1</v>
      </c>
      <c r="CK33" s="232">
        <f t="shared" si="115"/>
        <v>1.935671815418496</v>
      </c>
      <c r="CL33" s="232">
        <f t="shared" si="116"/>
        <v>1.9270020021722312</v>
      </c>
      <c r="CM33" s="232">
        <f t="shared" si="117"/>
        <v>1.5032711240608745</v>
      </c>
      <c r="CN33" s="232">
        <f t="shared" si="118"/>
        <v>1.4928791582357084</v>
      </c>
      <c r="CO33" s="232">
        <f t="shared" si="119"/>
        <v>1.8380871287391769</v>
      </c>
      <c r="CP33" s="232">
        <f t="shared" si="120"/>
        <v>1.52</v>
      </c>
      <c r="CQ33" s="232">
        <f t="shared" si="121"/>
        <v>1.5064958567071012</v>
      </c>
      <c r="CR33" s="232">
        <f t="shared" si="122"/>
        <v>1.6833367221857167</v>
      </c>
      <c r="CS33" s="232">
        <f t="shared" si="123"/>
        <v>0.23835650513539888</v>
      </c>
      <c r="CT33" s="232">
        <f t="shared" si="15"/>
        <v>14.159763878132864</v>
      </c>
      <c r="CV33" s="229">
        <f t="shared" si="16"/>
        <v>0.83</v>
      </c>
      <c r="CW33" s="229">
        <f t="shared" si="17"/>
        <v>1.19</v>
      </c>
      <c r="CX33" s="229">
        <f t="shared" si="18"/>
        <v>0.70658935679249191</v>
      </c>
      <c r="CY33" s="229">
        <f t="shared" si="19"/>
        <v>0.54828942590219076</v>
      </c>
      <c r="CZ33" s="229">
        <f t="shared" si="20"/>
        <v>1.1771382812526097</v>
      </c>
      <c r="DA33" s="229">
        <f t="shared" si="21"/>
        <v>0.83</v>
      </c>
      <c r="DB33" s="229">
        <f t="shared" si="22"/>
        <v>0.53227039826642519</v>
      </c>
      <c r="DC33" s="229">
        <f t="shared" si="23"/>
        <v>0.89</v>
      </c>
      <c r="DD33" s="229">
        <f t="shared" si="24"/>
        <v>0.83803593277671473</v>
      </c>
      <c r="DE33" s="229">
        <f t="shared" si="25"/>
        <v>0.24969190351028361</v>
      </c>
      <c r="DF33" s="229">
        <f t="shared" si="26"/>
        <v>29.794892288563862</v>
      </c>
      <c r="DH33" s="234">
        <f t="shared" si="124"/>
        <v>4.292E-2</v>
      </c>
      <c r="DI33" s="234">
        <f t="shared" si="125"/>
        <v>5.8000000000000003E-2</v>
      </c>
      <c r="DJ33" s="234">
        <f t="shared" si="126"/>
        <v>0.11578316103262072</v>
      </c>
      <c r="DK33" s="234">
        <f t="shared" si="27"/>
        <v>7.2234387010873577E-2</v>
      </c>
      <c r="DL33" s="234">
        <f t="shared" si="28"/>
        <v>3.8460673279310902E-2</v>
      </c>
      <c r="DM33" s="234">
        <f t="shared" si="29"/>
        <v>53.244271697801416</v>
      </c>
      <c r="DO33" s="229">
        <f t="shared" si="127"/>
        <v>2.38</v>
      </c>
      <c r="DP33" s="229">
        <f t="shared" si="128"/>
        <v>3.49</v>
      </c>
      <c r="DQ33" s="229">
        <f t="shared" si="129"/>
        <v>3.8278310070183741</v>
      </c>
      <c r="DR33" s="229">
        <f t="shared" si="130"/>
        <v>2.9979733924224012</v>
      </c>
      <c r="DS33" s="229">
        <f t="shared" si="131"/>
        <v>2.6207891968211836</v>
      </c>
      <c r="DT33" s="229">
        <f t="shared" si="132"/>
        <v>2.38</v>
      </c>
      <c r="DU33" s="229">
        <f t="shared" si="133"/>
        <v>1.3108</v>
      </c>
      <c r="DV33" s="229">
        <f t="shared" si="134"/>
        <v>3.4488242588476696</v>
      </c>
      <c r="DW33" s="229">
        <f t="shared" si="30"/>
        <v>2.8070272318887035</v>
      </c>
      <c r="DX33" s="229">
        <f t="shared" si="31"/>
        <v>0.81019760006316022</v>
      </c>
      <c r="DY33" s="229">
        <f t="shared" si="32"/>
        <v>28.863189884980923</v>
      </c>
      <c r="EA33" s="235">
        <f t="shared" si="135"/>
        <v>0.14000000000000001</v>
      </c>
      <c r="EB33" s="235">
        <f t="shared" si="136"/>
        <v>0.21009087743189198</v>
      </c>
      <c r="EC33" s="235">
        <f t="shared" si="137"/>
        <v>0.14000000000000001</v>
      </c>
      <c r="ED33" s="235">
        <f t="shared" si="138"/>
        <v>0.16437762299404307</v>
      </c>
      <c r="EE33" s="235">
        <f t="shared" si="139"/>
        <v>0.14336898839748766</v>
      </c>
      <c r="EF33" s="235">
        <f t="shared" si="140"/>
        <v>0.15956749776468454</v>
      </c>
      <c r="EG33" s="235">
        <f t="shared" si="141"/>
        <v>3.0016307405225207E-2</v>
      </c>
      <c r="EH33" s="235">
        <f t="shared" si="33"/>
        <v>18.81104098623549</v>
      </c>
      <c r="EJ33" s="229">
        <f t="shared" si="142"/>
        <v>7.5426305676856105</v>
      </c>
      <c r="EK33" s="229">
        <f t="shared" si="143"/>
        <v>15.940366012465923</v>
      </c>
      <c r="EL33" s="229">
        <f t="shared" si="144"/>
        <v>6.91</v>
      </c>
      <c r="EM33" s="229">
        <f t="shared" si="145"/>
        <v>14.4</v>
      </c>
      <c r="EN33" s="229">
        <f t="shared" si="146"/>
        <v>17.848078447338338</v>
      </c>
      <c r="EO33" s="229">
        <f t="shared" si="34"/>
        <v>18.936883993295197</v>
      </c>
      <c r="EP33" s="229">
        <f t="shared" si="147"/>
        <v>19.518498452237683</v>
      </c>
      <c r="EQ33" s="229">
        <f t="shared" si="148"/>
        <v>14.442351067574679</v>
      </c>
      <c r="ER33" s="229">
        <f t="shared" si="149"/>
        <v>5.230605054967409</v>
      </c>
      <c r="ES33" s="229">
        <f t="shared" si="35"/>
        <v>36.217129956845667</v>
      </c>
      <c r="EU33" s="238">
        <f t="shared" si="191"/>
        <v>1.565501171371839E-2</v>
      </c>
      <c r="EV33" s="238">
        <f t="shared" si="151"/>
        <v>1.565501171371839E-2</v>
      </c>
      <c r="EW33" s="238" t="e">
        <f t="shared" si="152"/>
        <v>#DIV/0!</v>
      </c>
      <c r="EX33" s="238" t="e">
        <f t="shared" si="36"/>
        <v>#DIV/0!</v>
      </c>
      <c r="EZ33" s="240">
        <f t="shared" si="153"/>
        <v>2.6770070011720506E-2</v>
      </c>
      <c r="FA33" s="240">
        <f t="shared" si="154"/>
        <v>2.6770070011720506E-2</v>
      </c>
      <c r="FB33" s="240" t="e">
        <f t="shared" si="155"/>
        <v>#DIV/0!</v>
      </c>
      <c r="FC33" s="240" t="e">
        <f t="shared" si="37"/>
        <v>#DIV/0!</v>
      </c>
      <c r="FE33" s="236">
        <f t="shared" si="156"/>
        <v>0.9</v>
      </c>
      <c r="FF33" s="236">
        <f t="shared" si="157"/>
        <v>1.2</v>
      </c>
      <c r="FG33" s="236">
        <f t="shared" si="158"/>
        <v>1.316337835771751</v>
      </c>
      <c r="FH33" s="236">
        <f t="shared" si="159"/>
        <v>1.2915384663817671</v>
      </c>
      <c r="FI33" s="236">
        <f t="shared" si="160"/>
        <v>0.9</v>
      </c>
      <c r="FJ33" s="236">
        <f t="shared" si="161"/>
        <v>1.0958508199602872</v>
      </c>
      <c r="FK33" s="236">
        <f t="shared" si="38"/>
        <v>1.1172878536856343</v>
      </c>
      <c r="FL33" s="236">
        <f t="shared" si="39"/>
        <v>0.18531758668564083</v>
      </c>
      <c r="FM33" s="236">
        <f t="shared" si="40"/>
        <v>16.586377993310101</v>
      </c>
      <c r="FO33" s="227">
        <f t="shared" si="162"/>
        <v>0.3</v>
      </c>
      <c r="FP33" s="227">
        <f t="shared" si="163"/>
        <v>0.32</v>
      </c>
      <c r="FQ33" s="227">
        <f t="shared" si="164"/>
        <v>0.36192686491482712</v>
      </c>
      <c r="FR33" s="227">
        <f t="shared" si="165"/>
        <v>0.3</v>
      </c>
      <c r="FS33" s="227">
        <f t="shared" si="166"/>
        <v>0.35223776355866371</v>
      </c>
      <c r="FT33" s="227">
        <f t="shared" si="41"/>
        <v>0.32683292569469818</v>
      </c>
      <c r="FU33" s="227">
        <f t="shared" si="42"/>
        <v>2.8998668215558347E-2</v>
      </c>
      <c r="FV33" s="227">
        <f t="shared" si="43"/>
        <v>8.8726275524169917</v>
      </c>
      <c r="FX33" s="230">
        <f t="shared" si="167"/>
        <v>2.94</v>
      </c>
      <c r="FY33" s="230">
        <f t="shared" si="168"/>
        <v>1.643776229940431</v>
      </c>
      <c r="FZ33" s="230">
        <f t="shared" si="169"/>
        <v>2.94</v>
      </c>
      <c r="GA33" s="230">
        <f t="shared" si="170"/>
        <v>3.8036640379987725</v>
      </c>
      <c r="GB33" s="230">
        <f t="shared" si="44"/>
        <v>2.8318600669848006</v>
      </c>
      <c r="GC33" s="230">
        <f t="shared" si="45"/>
        <v>0.89056810560257149</v>
      </c>
      <c r="GD33" s="230">
        <f t="shared" si="46"/>
        <v>31.448167795621217</v>
      </c>
      <c r="GF33" s="231">
        <f t="shared" si="171"/>
        <v>0.06</v>
      </c>
      <c r="GG33" s="231">
        <f t="shared" si="172"/>
        <v>0.05</v>
      </c>
      <c r="GH33" s="231">
        <f t="shared" si="173"/>
        <v>0.06</v>
      </c>
      <c r="GI33" s="231">
        <f t="shared" si="174"/>
        <v>6.2620046854873559E-2</v>
      </c>
      <c r="GJ33" s="245">
        <f t="shared" si="187"/>
        <v>5.8155011713718383E-2</v>
      </c>
      <c r="GK33" s="231">
        <f t="shared" si="188"/>
        <v>5.5752045826638315E-3</v>
      </c>
      <c r="GL33" s="231">
        <f t="shared" si="47"/>
        <v>9.5867998619088546</v>
      </c>
      <c r="GN33" s="246">
        <f t="shared" si="175"/>
        <v>0.18</v>
      </c>
      <c r="GO33" s="246">
        <f t="shared" si="176"/>
        <v>0.18</v>
      </c>
      <c r="GP33" s="246">
        <f t="shared" si="177"/>
        <v>0.16437762299404307</v>
      </c>
      <c r="GQ33" s="247">
        <f t="shared" si="189"/>
        <v>0.17479254099801436</v>
      </c>
      <c r="GR33" s="246">
        <f t="shared" si="190"/>
        <v>9.0195835697710492E-3</v>
      </c>
      <c r="GS33" s="246">
        <f t="shared" si="48"/>
        <v>5.1601650266492269</v>
      </c>
      <c r="GU33" s="249">
        <f t="shared" si="178"/>
        <v>2.1447366047794191E-2</v>
      </c>
      <c r="GV33" s="249">
        <f t="shared" si="179"/>
        <v>2.1447366047794191E-2</v>
      </c>
      <c r="GW33" s="249" t="e">
        <f t="shared" si="180"/>
        <v>#DIV/0!</v>
      </c>
      <c r="GX33" s="249" t="e">
        <f t="shared" si="49"/>
        <v>#DIV/0!</v>
      </c>
      <c r="GZ33" s="240">
        <f t="shared" si="181"/>
        <v>2.3482517570577587E-2</v>
      </c>
      <c r="HA33" s="240">
        <f t="shared" si="182"/>
        <v>2.3482517570577587E-2</v>
      </c>
      <c r="HB33" s="240" t="e">
        <f t="shared" si="183"/>
        <v>#DIV/0!</v>
      </c>
      <c r="HC33" s="240" t="e">
        <f t="shared" si="50"/>
        <v>#DIV/0!</v>
      </c>
      <c r="HE33" s="234">
        <f t="shared" si="184"/>
        <v>9.2717119696624398E-2</v>
      </c>
      <c r="HF33" s="251">
        <f t="shared" si="185"/>
        <v>9.2717119696624398E-2</v>
      </c>
      <c r="HG33" s="234" t="e">
        <f t="shared" si="186"/>
        <v>#DIV/0!</v>
      </c>
      <c r="HH33" s="234" t="e">
        <f t="shared" si="51"/>
        <v>#DIV/0!</v>
      </c>
    </row>
    <row r="34" spans="2:216" ht="15.6" x14ac:dyDescent="0.25">
      <c r="B34">
        <v>30</v>
      </c>
      <c r="C34" s="124">
        <f t="shared" si="52"/>
        <v>78.281765220291192</v>
      </c>
      <c r="D34" s="124">
        <f t="shared" si="53"/>
        <v>180.66861238579202</v>
      </c>
      <c r="E34" s="29">
        <f t="shared" si="54"/>
        <v>2.0136776414492439</v>
      </c>
      <c r="F34" s="29">
        <f t="shared" si="0"/>
        <v>1.9834079380217213</v>
      </c>
      <c r="G34" s="29">
        <f t="shared" si="1"/>
        <v>1.9884869001000611</v>
      </c>
      <c r="H34" s="29">
        <f t="shared" si="2"/>
        <v>2.0136776414492439</v>
      </c>
      <c r="I34" s="29">
        <f t="shared" si="3"/>
        <v>1.9820764853403083</v>
      </c>
      <c r="J34" s="125">
        <f t="shared" si="4"/>
        <v>1.9962653212721153</v>
      </c>
      <c r="K34" s="126">
        <f t="shared" si="5"/>
        <v>1.6074179551214946E-2</v>
      </c>
      <c r="L34" s="126">
        <f t="shared" si="55"/>
        <v>0.8052125827127885</v>
      </c>
      <c r="N34" s="138">
        <f t="shared" si="56"/>
        <v>419.21571746714426</v>
      </c>
      <c r="O34" s="138">
        <f t="shared" si="57"/>
        <v>325.79239999999999</v>
      </c>
      <c r="P34" s="138">
        <f t="shared" si="58"/>
        <v>387.06895780833548</v>
      </c>
      <c r="Q34" s="138">
        <f t="shared" si="59"/>
        <v>417.12457409020811</v>
      </c>
      <c r="R34" s="138">
        <f t="shared" si="60"/>
        <v>419.21571746714426</v>
      </c>
      <c r="S34" s="138">
        <f t="shared" si="61"/>
        <v>391.67115760072562</v>
      </c>
      <c r="T34" s="138">
        <f t="shared" si="62"/>
        <v>393.34808740559293</v>
      </c>
      <c r="U34" s="138">
        <f t="shared" si="63"/>
        <v>36.082129515808866</v>
      </c>
      <c r="V34" s="138">
        <f t="shared" si="64"/>
        <v>9.1730786728355209</v>
      </c>
      <c r="X34" s="227">
        <f t="shared" si="65"/>
        <v>0.44727644999999999</v>
      </c>
      <c r="Y34" s="227">
        <f t="shared" si="66"/>
        <v>0.47</v>
      </c>
      <c r="Z34" s="227">
        <f t="shared" si="67"/>
        <v>0.44727644999999999</v>
      </c>
      <c r="AA34" s="227">
        <f t="shared" si="68"/>
        <v>0.45485096666666663</v>
      </c>
      <c r="AB34" s="227">
        <f t="shared" si="69"/>
        <v>1.3119447709443909E-2</v>
      </c>
      <c r="AC34" s="227">
        <f t="shared" si="70"/>
        <v>2.884339854345825</v>
      </c>
      <c r="AE34" s="228">
        <f t="shared" si="71"/>
        <v>4.4629672977977632</v>
      </c>
      <c r="AF34" s="228">
        <f t="shared" si="72"/>
        <v>5.2850000000000001</v>
      </c>
      <c r="AG34" s="228">
        <f t="shared" si="73"/>
        <v>4.4629672977977632</v>
      </c>
      <c r="AH34" s="228">
        <f t="shared" si="74"/>
        <v>7.0197298418245682</v>
      </c>
      <c r="AI34" s="228">
        <f t="shared" si="75"/>
        <v>5.2850000000000001</v>
      </c>
      <c r="AJ34" s="228">
        <f t="shared" si="76"/>
        <v>5.957242261726849</v>
      </c>
      <c r="AK34" s="228">
        <f t="shared" si="77"/>
        <v>5.507135396071833</v>
      </c>
      <c r="AL34" s="228">
        <f t="shared" si="78"/>
        <v>5.4257202993169686</v>
      </c>
      <c r="AM34" s="228">
        <f t="shared" si="79"/>
        <v>0.88726184835303989</v>
      </c>
      <c r="AN34" s="228">
        <f t="shared" si="80"/>
        <v>16.352885873323313</v>
      </c>
      <c r="AP34" s="229">
        <f t="shared" si="192"/>
        <v>1.3995844875346262</v>
      </c>
      <c r="AQ34" s="229">
        <f t="shared" si="193"/>
        <v>1.4</v>
      </c>
      <c r="AR34" s="229">
        <f t="shared" si="194"/>
        <v>1.47</v>
      </c>
      <c r="AS34" s="229">
        <f t="shared" si="195"/>
        <v>1.4725489511086087</v>
      </c>
      <c r="AT34" s="229">
        <f t="shared" si="196"/>
        <v>1.3995844875346262</v>
      </c>
      <c r="AU34" s="229">
        <f t="shared" si="197"/>
        <v>0.5697465014551929</v>
      </c>
      <c r="AV34" s="229">
        <f t="shared" si="198"/>
        <v>1.4</v>
      </c>
      <c r="AW34" s="229">
        <f t="shared" si="199"/>
        <v>1.4499979643386827</v>
      </c>
      <c r="AX34" s="229">
        <f t="shared" si="200"/>
        <v>1.447724605501586</v>
      </c>
      <c r="AY34" s="229">
        <f t="shared" si="90"/>
        <v>1.3343541108303691</v>
      </c>
      <c r="AZ34" s="229">
        <f t="shared" si="91"/>
        <v>0.28841756989184014</v>
      </c>
      <c r="BA34" s="229">
        <f t="shared" si="92"/>
        <v>21.614769838896645</v>
      </c>
      <c r="BC34" s="230">
        <f t="shared" si="93"/>
        <v>9.65</v>
      </c>
      <c r="BD34" s="230">
        <f t="shared" si="94"/>
        <v>11.73</v>
      </c>
      <c r="BE34" s="230">
        <f t="shared" si="95"/>
        <v>9.65</v>
      </c>
      <c r="BF34" s="230">
        <f t="shared" si="96"/>
        <v>9.2001225341380888</v>
      </c>
      <c r="BG34" s="230">
        <f t="shared" si="97"/>
        <v>10.057530633534522</v>
      </c>
      <c r="BH34" s="230">
        <f t="shared" si="98"/>
        <v>1.134969142783794</v>
      </c>
      <c r="BI34" s="230">
        <f t="shared" si="99"/>
        <v>11.284769434353006</v>
      </c>
      <c r="BK34" s="227">
        <f t="shared" si="6"/>
        <v>19.600000000000001</v>
      </c>
      <c r="BL34" s="227">
        <f t="shared" si="7"/>
        <v>31.73</v>
      </c>
      <c r="BM34" s="227">
        <f t="shared" si="8"/>
        <v>40.887237257958169</v>
      </c>
      <c r="BN34" s="227">
        <f t="shared" si="9"/>
        <v>22.68090389464421</v>
      </c>
      <c r="BO34" s="227">
        <f t="shared" si="10"/>
        <v>19.600000000000001</v>
      </c>
      <c r="BP34" s="227">
        <f t="shared" si="11"/>
        <v>30.759461270300378</v>
      </c>
      <c r="BQ34" s="227">
        <f t="shared" si="12"/>
        <v>31.86</v>
      </c>
      <c r="BR34" s="227">
        <f t="shared" si="100"/>
        <v>28.159657488986113</v>
      </c>
      <c r="BS34" s="227">
        <f t="shared" si="101"/>
        <v>7.8712807135251381</v>
      </c>
      <c r="BT34" s="227">
        <f t="shared" si="13"/>
        <v>27.952331155319541</v>
      </c>
      <c r="BV34" s="231">
        <f t="shared" si="102"/>
        <v>0.26</v>
      </c>
      <c r="BW34" s="231">
        <f t="shared" si="103"/>
        <v>0.31585846003623946</v>
      </c>
      <c r="BX34" s="231">
        <f t="shared" si="104"/>
        <v>0.31810464479871187</v>
      </c>
      <c r="BY34" s="231">
        <f t="shared" si="105"/>
        <v>0.26</v>
      </c>
      <c r="BZ34" s="231">
        <f t="shared" si="106"/>
        <v>0.32917579149533976</v>
      </c>
      <c r="CA34" s="231">
        <f t="shared" si="107"/>
        <v>0.32079007742035259</v>
      </c>
      <c r="CB34" s="231">
        <f t="shared" si="108"/>
        <v>0.48</v>
      </c>
      <c r="CC34" s="231">
        <f t="shared" si="109"/>
        <v>0.47886555920414919</v>
      </c>
      <c r="CD34" s="231">
        <f t="shared" si="110"/>
        <v>0.34534931661934909</v>
      </c>
      <c r="CE34" s="231">
        <f t="shared" si="111"/>
        <v>8.7016523203691062E-2</v>
      </c>
      <c r="CF34" s="231">
        <f t="shared" si="14"/>
        <v>25.196668710829506</v>
      </c>
      <c r="CH34" s="232">
        <f t="shared" si="112"/>
        <v>1.4878436987357906</v>
      </c>
      <c r="CI34" s="232">
        <f t="shared" si="113"/>
        <v>1.52</v>
      </c>
      <c r="CJ34" s="232">
        <f t="shared" si="114"/>
        <v>2.1</v>
      </c>
      <c r="CK34" s="232">
        <f t="shared" si="115"/>
        <v>1.9353914501158009</v>
      </c>
      <c r="CL34" s="232">
        <f t="shared" si="116"/>
        <v>1.9227066541402065</v>
      </c>
      <c r="CM34" s="232">
        <f t="shared" si="117"/>
        <v>1.5033715879938878</v>
      </c>
      <c r="CN34" s="232">
        <f t="shared" si="118"/>
        <v>1.4907585740766851</v>
      </c>
      <c r="CO34" s="232">
        <f t="shared" si="119"/>
        <v>1.8382380415724124</v>
      </c>
      <c r="CP34" s="232">
        <f t="shared" si="120"/>
        <v>1.52</v>
      </c>
      <c r="CQ34" s="232">
        <f t="shared" si="121"/>
        <v>1.504080890775453</v>
      </c>
      <c r="CR34" s="232">
        <f t="shared" si="122"/>
        <v>1.6822390897410233</v>
      </c>
      <c r="CS34" s="232">
        <f t="shared" si="123"/>
        <v>0.23842118326081271</v>
      </c>
      <c r="CT34" s="232">
        <f t="shared" si="15"/>
        <v>14.172847647804755</v>
      </c>
      <c r="CV34" s="229">
        <f t="shared" si="16"/>
        <v>0.83</v>
      </c>
      <c r="CW34" s="229">
        <f t="shared" si="17"/>
        <v>1.19</v>
      </c>
      <c r="CX34" s="229">
        <f t="shared" si="18"/>
        <v>0.70794216220240014</v>
      </c>
      <c r="CY34" s="229">
        <f t="shared" si="19"/>
        <v>0.54656675684507583</v>
      </c>
      <c r="CZ34" s="229">
        <f t="shared" si="20"/>
        <v>1.1772152512441982</v>
      </c>
      <c r="DA34" s="229">
        <f t="shared" si="21"/>
        <v>0.83</v>
      </c>
      <c r="DB34" s="229">
        <f t="shared" si="22"/>
        <v>0.53231600349798003</v>
      </c>
      <c r="DC34" s="229">
        <f t="shared" si="23"/>
        <v>0.89</v>
      </c>
      <c r="DD34" s="229">
        <f t="shared" si="24"/>
        <v>0.83800502172370683</v>
      </c>
      <c r="DE34" s="229">
        <f t="shared" si="25"/>
        <v>0.24988399267910402</v>
      </c>
      <c r="DF34" s="229">
        <f t="shared" si="26"/>
        <v>29.818913514994623</v>
      </c>
      <c r="DH34" s="234">
        <f t="shared" si="124"/>
        <v>4.4400000000000002E-2</v>
      </c>
      <c r="DI34" s="234">
        <f t="shared" si="125"/>
        <v>0.06</v>
      </c>
      <c r="DJ34" s="234">
        <f t="shared" si="126"/>
        <v>0.11549866457849643</v>
      </c>
      <c r="DK34" s="234">
        <f t="shared" si="27"/>
        <v>7.3299554859498808E-2</v>
      </c>
      <c r="DL34" s="234">
        <f t="shared" si="28"/>
        <v>3.7368618462648565E-2</v>
      </c>
      <c r="DM34" s="234">
        <f t="shared" si="29"/>
        <v>50.980689492967649</v>
      </c>
      <c r="DO34" s="229">
        <f t="shared" si="127"/>
        <v>2.38</v>
      </c>
      <c r="DP34" s="229">
        <f t="shared" si="128"/>
        <v>3.49</v>
      </c>
      <c r="DQ34" s="229">
        <f t="shared" si="129"/>
        <v>3.8232564216696416</v>
      </c>
      <c r="DR34" s="229">
        <f t="shared" si="130"/>
        <v>2.9943979819081727</v>
      </c>
      <c r="DS34" s="229">
        <f t="shared" si="131"/>
        <v>2.6209643613810703</v>
      </c>
      <c r="DT34" s="229">
        <f t="shared" si="132"/>
        <v>2.38</v>
      </c>
      <c r="DU34" s="229">
        <f t="shared" si="133"/>
        <v>1.3559999999999999</v>
      </c>
      <c r="DV34" s="229">
        <f t="shared" si="134"/>
        <v>3.4353687232520116</v>
      </c>
      <c r="DW34" s="229">
        <f t="shared" si="30"/>
        <v>2.8099984360263619</v>
      </c>
      <c r="DX34" s="229">
        <f t="shared" si="31"/>
        <v>0.79586679650526981</v>
      </c>
      <c r="DY34" s="229">
        <f t="shared" si="32"/>
        <v>28.322677561013538</v>
      </c>
      <c r="EA34" s="235">
        <f t="shared" si="135"/>
        <v>0.14000000000000001</v>
      </c>
      <c r="EB34" s="235">
        <f t="shared" si="136"/>
        <v>0.21010595384066186</v>
      </c>
      <c r="EC34" s="235">
        <f t="shared" si="137"/>
        <v>0.14000000000000001</v>
      </c>
      <c r="ED34" s="235">
        <f t="shared" si="138"/>
        <v>0.16439170696261149</v>
      </c>
      <c r="EE34" s="235">
        <f t="shared" si="139"/>
        <v>0.1430446111548464</v>
      </c>
      <c r="EF34" s="235">
        <f t="shared" si="140"/>
        <v>0.15950845439162395</v>
      </c>
      <c r="EG34" s="235">
        <f t="shared" si="141"/>
        <v>3.0067302946027358E-2</v>
      </c>
      <c r="EH34" s="235">
        <f t="shared" si="33"/>
        <v>18.849974479851923</v>
      </c>
      <c r="EJ34" s="229">
        <f t="shared" si="142"/>
        <v>7.5426305676856105</v>
      </c>
      <c r="EK34" s="229">
        <f t="shared" si="143"/>
        <v>15.927187095725481</v>
      </c>
      <c r="EL34" s="229">
        <f t="shared" si="144"/>
        <v>6.91</v>
      </c>
      <c r="EM34" s="229">
        <f t="shared" si="145"/>
        <v>14.4</v>
      </c>
      <c r="EN34" s="229">
        <f t="shared" si="146"/>
        <v>18.062662899959932</v>
      </c>
      <c r="EO34" s="229">
        <f t="shared" si="34"/>
        <v>19.01481893141754</v>
      </c>
      <c r="EP34" s="229">
        <f t="shared" si="147"/>
        <v>19.523052760416572</v>
      </c>
      <c r="EQ34" s="229">
        <f t="shared" si="148"/>
        <v>14.482907465029305</v>
      </c>
      <c r="ER34" s="229">
        <f t="shared" si="149"/>
        <v>5.2656927891274288</v>
      </c>
      <c r="ES34" s="229">
        <f t="shared" si="35"/>
        <v>36.35798130894689</v>
      </c>
      <c r="EU34" s="238">
        <f t="shared" si="191"/>
        <v>1.5656353044058238E-2</v>
      </c>
      <c r="EV34" s="238">
        <f t="shared" si="151"/>
        <v>1.5656353044058238E-2</v>
      </c>
      <c r="EW34" s="238" t="e">
        <f t="shared" si="152"/>
        <v>#DIV/0!</v>
      </c>
      <c r="EX34" s="238" t="e">
        <f t="shared" si="36"/>
        <v>#DIV/0!</v>
      </c>
      <c r="EZ34" s="240">
        <f t="shared" si="153"/>
        <v>2.677236370080998E-2</v>
      </c>
      <c r="FA34" s="240">
        <f t="shared" si="154"/>
        <v>2.677236370080998E-2</v>
      </c>
      <c r="FB34" s="240" t="e">
        <f t="shared" si="155"/>
        <v>#DIV/0!</v>
      </c>
      <c r="FC34" s="240" t="e">
        <f t="shared" si="37"/>
        <v>#DIV/0!</v>
      </c>
      <c r="FE34" s="236">
        <f t="shared" si="156"/>
        <v>0.9</v>
      </c>
      <c r="FF34" s="236">
        <f t="shared" si="157"/>
        <v>1.2</v>
      </c>
      <c r="FG34" s="236">
        <f t="shared" si="158"/>
        <v>1.3154850437197967</v>
      </c>
      <c r="FH34" s="236">
        <f t="shared" si="159"/>
        <v>1.2916491261348046</v>
      </c>
      <c r="FI34" s="236">
        <f t="shared" si="160"/>
        <v>0.9</v>
      </c>
      <c r="FJ34" s="236">
        <f t="shared" si="161"/>
        <v>1.0959447130840767</v>
      </c>
      <c r="FK34" s="236">
        <f t="shared" si="38"/>
        <v>1.117179813823113</v>
      </c>
      <c r="FL34" s="236">
        <f t="shared" si="39"/>
        <v>0.18515332076370974</v>
      </c>
      <c r="FM34" s="236">
        <f t="shared" si="40"/>
        <v>16.573278399123108</v>
      </c>
      <c r="FO34" s="227">
        <f t="shared" si="162"/>
        <v>0.3</v>
      </c>
      <c r="FP34" s="227">
        <f t="shared" si="163"/>
        <v>0.32</v>
      </c>
      <c r="FQ34" s="227">
        <f t="shared" si="164"/>
        <v>0.36109606801309324</v>
      </c>
      <c r="FR34" s="227">
        <f t="shared" si="165"/>
        <v>0.3</v>
      </c>
      <c r="FS34" s="227">
        <f t="shared" si="166"/>
        <v>0.35226794349131035</v>
      </c>
      <c r="FT34" s="227">
        <f t="shared" si="41"/>
        <v>0.32667280230088069</v>
      </c>
      <c r="FU34" s="227">
        <f t="shared" si="42"/>
        <v>2.875532790006919E-2</v>
      </c>
      <c r="FV34" s="227">
        <f t="shared" si="43"/>
        <v>8.8024860648130137</v>
      </c>
      <c r="FX34" s="230">
        <f t="shared" si="167"/>
        <v>2.94</v>
      </c>
      <c r="FY34" s="230">
        <f t="shared" si="168"/>
        <v>1.6439170696261152</v>
      </c>
      <c r="FZ34" s="230">
        <f t="shared" si="169"/>
        <v>2.94</v>
      </c>
      <c r="GA34" s="230">
        <f t="shared" si="170"/>
        <v>3.8156554876566346</v>
      </c>
      <c r="GB34" s="230">
        <f t="shared" si="44"/>
        <v>2.8348931393206875</v>
      </c>
      <c r="GC34" s="230">
        <f t="shared" si="45"/>
        <v>0.89487684195876649</v>
      </c>
      <c r="GD34" s="230">
        <f t="shared" si="46"/>
        <v>31.566510551900439</v>
      </c>
      <c r="GF34" s="231">
        <f t="shared" si="171"/>
        <v>0.06</v>
      </c>
      <c r="GG34" s="231">
        <f t="shared" si="172"/>
        <v>0.05</v>
      </c>
      <c r="GH34" s="231">
        <f t="shared" si="173"/>
        <v>0.06</v>
      </c>
      <c r="GI34" s="231">
        <f t="shared" si="174"/>
        <v>6.262541217623295E-2</v>
      </c>
      <c r="GJ34" s="245">
        <f t="shared" si="187"/>
        <v>5.8156353044058237E-2</v>
      </c>
      <c r="GK34" s="231">
        <f t="shared" si="188"/>
        <v>5.5766373590333349E-3</v>
      </c>
      <c r="GL34" s="231">
        <f t="shared" si="47"/>
        <v>9.5890424126295741</v>
      </c>
      <c r="GN34" s="246">
        <f t="shared" si="175"/>
        <v>0.18</v>
      </c>
      <c r="GO34" s="246">
        <f t="shared" si="176"/>
        <v>0.18</v>
      </c>
      <c r="GP34" s="246">
        <f t="shared" si="177"/>
        <v>0.16439170696261149</v>
      </c>
      <c r="GQ34" s="247">
        <f t="shared" si="189"/>
        <v>0.17479723565420383</v>
      </c>
      <c r="GR34" s="246">
        <f t="shared" si="190"/>
        <v>9.0114521867268142E-3</v>
      </c>
      <c r="GS34" s="246">
        <f t="shared" si="48"/>
        <v>5.1553745418227912</v>
      </c>
      <c r="GU34" s="249">
        <f t="shared" si="178"/>
        <v>2.1449203670359785E-2</v>
      </c>
      <c r="GV34" s="249">
        <f t="shared" si="179"/>
        <v>2.1449203670359785E-2</v>
      </c>
      <c r="GW34" s="249" t="e">
        <f t="shared" si="180"/>
        <v>#DIV/0!</v>
      </c>
      <c r="GX34" s="249" t="e">
        <f t="shared" si="49"/>
        <v>#DIV/0!</v>
      </c>
      <c r="GZ34" s="240">
        <f t="shared" si="181"/>
        <v>2.3484529566087358E-2</v>
      </c>
      <c r="HA34" s="240">
        <f t="shared" si="182"/>
        <v>2.3484529566087358E-2</v>
      </c>
      <c r="HB34" s="240" t="e">
        <f t="shared" si="183"/>
        <v>#DIV/0!</v>
      </c>
      <c r="HC34" s="240" t="e">
        <f t="shared" si="50"/>
        <v>#DIV/0!</v>
      </c>
      <c r="HE34" s="234">
        <f t="shared" si="184"/>
        <v>9.2725100612146505E-2</v>
      </c>
      <c r="HF34" s="251">
        <f t="shared" si="185"/>
        <v>9.2725100612146505E-2</v>
      </c>
      <c r="HG34" s="234" t="e">
        <f t="shared" si="186"/>
        <v>#DIV/0!</v>
      </c>
      <c r="HH34" s="234" t="e">
        <f t="shared" si="51"/>
        <v>#DIV/0!</v>
      </c>
    </row>
    <row r="35" spans="2:216" ht="15.6" x14ac:dyDescent="0.25">
      <c r="B35">
        <v>31</v>
      </c>
      <c r="C35" s="124">
        <f t="shared" si="52"/>
        <v>78.301974649545286</v>
      </c>
      <c r="D35" s="124">
        <f t="shared" si="53"/>
        <v>180.14751122601933</v>
      </c>
      <c r="E35" s="29">
        <f t="shared" si="54"/>
        <v>2.0115062037871754</v>
      </c>
      <c r="F35" s="29">
        <f t="shared" si="0"/>
        <v>1.9794759090214693</v>
      </c>
      <c r="G35" s="29">
        <f t="shared" si="1"/>
        <v>1.9863285881679109</v>
      </c>
      <c r="H35" s="29">
        <f t="shared" si="2"/>
        <v>2.0115062037871754</v>
      </c>
      <c r="I35" s="29">
        <f t="shared" si="3"/>
        <v>1.9794714401968831</v>
      </c>
      <c r="J35" s="125">
        <f t="shared" si="4"/>
        <v>1.9936576689921228</v>
      </c>
      <c r="K35" s="126">
        <f t="shared" si="5"/>
        <v>1.6531993358971805E-2</v>
      </c>
      <c r="L35" s="126">
        <f t="shared" si="55"/>
        <v>0.82922929127192735</v>
      </c>
      <c r="N35" s="138">
        <f t="shared" si="56"/>
        <v>418.6681104883458</v>
      </c>
      <c r="O35" s="138">
        <f t="shared" si="57"/>
        <v>325.79239999999999</v>
      </c>
      <c r="P35" s="138">
        <f t="shared" si="58"/>
        <v>384.90965210109556</v>
      </c>
      <c r="Q35" s="138">
        <f t="shared" si="59"/>
        <v>417.20650983316312</v>
      </c>
      <c r="R35" s="138">
        <f t="shared" si="60"/>
        <v>418.6681104883458</v>
      </c>
      <c r="S35" s="138">
        <f t="shared" si="61"/>
        <v>392.51987894302766</v>
      </c>
      <c r="T35" s="138">
        <f t="shared" si="62"/>
        <v>392.96077697566301</v>
      </c>
      <c r="U35" s="138">
        <f t="shared" si="63"/>
        <v>36.017205396387176</v>
      </c>
      <c r="V35" s="138">
        <f t="shared" si="64"/>
        <v>9.1655980715392893</v>
      </c>
      <c r="X35" s="227">
        <f t="shared" si="65"/>
        <v>0.44806367465000002</v>
      </c>
      <c r="Y35" s="227">
        <f t="shared" si="66"/>
        <v>0.47</v>
      </c>
      <c r="Z35" s="227">
        <f t="shared" si="67"/>
        <v>0.44806367465000002</v>
      </c>
      <c r="AA35" s="227">
        <f t="shared" si="68"/>
        <v>0.45537578309999999</v>
      </c>
      <c r="AB35" s="227">
        <f t="shared" si="69"/>
        <v>1.2664943345853684E-2</v>
      </c>
      <c r="AC35" s="227">
        <f t="shared" si="70"/>
        <v>2.7812070417175603</v>
      </c>
      <c r="AE35" s="228">
        <f t="shared" si="71"/>
        <v>4.4559246677977207</v>
      </c>
      <c r="AF35" s="228">
        <f t="shared" si="72"/>
        <v>5.2850000000000001</v>
      </c>
      <c r="AG35" s="228">
        <f t="shared" si="73"/>
        <v>4.4559246677977207</v>
      </c>
      <c r="AH35" s="228">
        <f t="shared" si="74"/>
        <v>7.0215415203078999</v>
      </c>
      <c r="AI35" s="228">
        <f t="shared" si="75"/>
        <v>5.2850000000000001</v>
      </c>
      <c r="AJ35" s="228">
        <f t="shared" si="76"/>
        <v>5.9587802312443277</v>
      </c>
      <c r="AK35" s="228">
        <f t="shared" si="77"/>
        <v>5.4989434318337436</v>
      </c>
      <c r="AL35" s="228">
        <f t="shared" si="78"/>
        <v>5.4230163598544872</v>
      </c>
      <c r="AM35" s="228">
        <f t="shared" si="79"/>
        <v>0.89038570739633449</v>
      </c>
      <c r="AN35" s="228">
        <f t="shared" si="80"/>
        <v>16.418643210956969</v>
      </c>
      <c r="AP35" s="229">
        <f t="shared" si="192"/>
        <v>1.4009931997136722</v>
      </c>
      <c r="AQ35" s="229">
        <f t="shared" si="193"/>
        <v>1.4</v>
      </c>
      <c r="AR35" s="229">
        <f t="shared" si="194"/>
        <v>1.47</v>
      </c>
      <c r="AS35" s="229">
        <f t="shared" si="195"/>
        <v>1.4663977668330315</v>
      </c>
      <c r="AT35" s="229">
        <f t="shared" si="196"/>
        <v>1.4009931997136722</v>
      </c>
      <c r="AU35" s="229">
        <f t="shared" si="197"/>
        <v>0.58862379128125719</v>
      </c>
      <c r="AV35" s="229">
        <f t="shared" si="198"/>
        <v>1.4</v>
      </c>
      <c r="AW35" s="229">
        <f t="shared" si="199"/>
        <v>1.4499986889599705</v>
      </c>
      <c r="AX35" s="229">
        <f t="shared" si="200"/>
        <v>1.445424805182586</v>
      </c>
      <c r="AY35" s="229">
        <f t="shared" si="90"/>
        <v>1.3358257168537988</v>
      </c>
      <c r="AZ35" s="229">
        <f t="shared" si="91"/>
        <v>0.28176679689820361</v>
      </c>
      <c r="BA35" s="229">
        <f t="shared" si="92"/>
        <v>21.093080732255579</v>
      </c>
      <c r="BC35" s="230">
        <f t="shared" si="93"/>
        <v>9.65</v>
      </c>
      <c r="BD35" s="230">
        <f t="shared" si="94"/>
        <v>11.73</v>
      </c>
      <c r="BE35" s="230">
        <f t="shared" si="95"/>
        <v>9.65</v>
      </c>
      <c r="BF35" s="230">
        <f t="shared" si="96"/>
        <v>9.2001228772436274</v>
      </c>
      <c r="BG35" s="230">
        <f t="shared" si="97"/>
        <v>10.057530719310908</v>
      </c>
      <c r="BH35" s="230">
        <f t="shared" si="98"/>
        <v>1.1349690563845478</v>
      </c>
      <c r="BI35" s="230">
        <f t="shared" si="99"/>
        <v>11.284768479059743</v>
      </c>
      <c r="BK35" s="227">
        <f t="shared" si="6"/>
        <v>19.600000000000001</v>
      </c>
      <c r="BL35" s="227">
        <f t="shared" si="7"/>
        <v>31.73</v>
      </c>
      <c r="BM35" s="227">
        <f t="shared" si="8"/>
        <v>40.825342867809802</v>
      </c>
      <c r="BN35" s="227">
        <f t="shared" si="9"/>
        <v>22.68287292701298</v>
      </c>
      <c r="BO35" s="227">
        <f t="shared" si="10"/>
        <v>19.600000000000001</v>
      </c>
      <c r="BP35" s="227">
        <f t="shared" si="11"/>
        <v>30.747878548812139</v>
      </c>
      <c r="BQ35" s="227">
        <f t="shared" si="12"/>
        <v>31.86</v>
      </c>
      <c r="BR35" s="227">
        <f t="shared" si="100"/>
        <v>28.149442049090705</v>
      </c>
      <c r="BS35" s="227">
        <f t="shared" si="101"/>
        <v>7.853749274751272</v>
      </c>
      <c r="BT35" s="227">
        <f t="shared" si="13"/>
        <v>27.900195183460013</v>
      </c>
      <c r="BV35" s="231">
        <f t="shared" si="102"/>
        <v>0.26</v>
      </c>
      <c r="BW35" s="231">
        <f t="shared" si="103"/>
        <v>0.31543301324805806</v>
      </c>
      <c r="BX35" s="231">
        <f t="shared" si="104"/>
        <v>0.31816341452869173</v>
      </c>
      <c r="BY35" s="231">
        <f t="shared" si="105"/>
        <v>0.26</v>
      </c>
      <c r="BZ35" s="231">
        <f t="shared" si="106"/>
        <v>0.32918389577064805</v>
      </c>
      <c r="CA35" s="231">
        <f t="shared" si="107"/>
        <v>0.31992308839529976</v>
      </c>
      <c r="CB35" s="231">
        <f t="shared" si="108"/>
        <v>0.48</v>
      </c>
      <c r="CC35" s="231">
        <f t="shared" si="109"/>
        <v>0.47689844061215769</v>
      </c>
      <c r="CD35" s="231">
        <f t="shared" si="110"/>
        <v>0.34495023156935689</v>
      </c>
      <c r="CE35" s="231">
        <f t="shared" si="111"/>
        <v>8.6640132976020384E-2</v>
      </c>
      <c r="CF35" s="231">
        <f t="shared" si="14"/>
        <v>25.116705265524725</v>
      </c>
      <c r="CH35" s="232">
        <f t="shared" si="112"/>
        <v>1.4855283280388514</v>
      </c>
      <c r="CI35" s="232">
        <f t="shared" si="113"/>
        <v>1.52</v>
      </c>
      <c r="CJ35" s="232">
        <f t="shared" si="114"/>
        <v>2.1</v>
      </c>
      <c r="CK35" s="232">
        <f t="shared" si="115"/>
        <v>1.9355321906534049</v>
      </c>
      <c r="CL35" s="232">
        <f t="shared" si="116"/>
        <v>1.9187685774497836</v>
      </c>
      <c r="CM35" s="232">
        <f t="shared" si="117"/>
        <v>1.5036743086439734</v>
      </c>
      <c r="CN35" s="232">
        <f t="shared" si="118"/>
        <v>1.4884386672735974</v>
      </c>
      <c r="CO35" s="232">
        <f t="shared" si="119"/>
        <v>1.8386927694166437</v>
      </c>
      <c r="CP35" s="232">
        <f t="shared" si="120"/>
        <v>1.52</v>
      </c>
      <c r="CQ35" s="232">
        <f t="shared" si="121"/>
        <v>1.5013891110893891</v>
      </c>
      <c r="CR35" s="232">
        <f t="shared" si="122"/>
        <v>1.6812023952565642</v>
      </c>
      <c r="CS35" s="232">
        <f t="shared" si="123"/>
        <v>0.2386498238982572</v>
      </c>
      <c r="CT35" s="232">
        <f t="shared" si="15"/>
        <v>14.195187002564163</v>
      </c>
      <c r="CV35" s="229">
        <f t="shared" si="16"/>
        <v>0.83</v>
      </c>
      <c r="CW35" s="229">
        <f t="shared" si="17"/>
        <v>1.19</v>
      </c>
      <c r="CX35" s="229">
        <f t="shared" si="18"/>
        <v>0.70946563838135213</v>
      </c>
      <c r="CY35" s="229">
        <f t="shared" si="19"/>
        <v>0.54456156070630224</v>
      </c>
      <c r="CZ35" s="229">
        <f t="shared" si="20"/>
        <v>1.177447163333722</v>
      </c>
      <c r="DA35" s="229">
        <f t="shared" si="21"/>
        <v>0.83</v>
      </c>
      <c r="DB35" s="229">
        <f t="shared" si="22"/>
        <v>0.53245342761690795</v>
      </c>
      <c r="DC35" s="229">
        <f t="shared" si="23"/>
        <v>0.89</v>
      </c>
      <c r="DD35" s="229">
        <f t="shared" si="24"/>
        <v>0.83799097375478537</v>
      </c>
      <c r="DE35" s="229">
        <f t="shared" si="25"/>
        <v>0.25012747713071054</v>
      </c>
      <c r="DF35" s="229">
        <f t="shared" si="26"/>
        <v>29.848469132067684</v>
      </c>
      <c r="DH35" s="234">
        <f t="shared" si="124"/>
        <v>4.5879999999999997E-2</v>
      </c>
      <c r="DI35" s="234">
        <f t="shared" si="125"/>
        <v>6.2E-2</v>
      </c>
      <c r="DJ35" s="234">
        <f t="shared" si="126"/>
        <v>0.11517831420980718</v>
      </c>
      <c r="DK35" s="234">
        <f t="shared" si="27"/>
        <v>7.4352771403269055E-2</v>
      </c>
      <c r="DL35" s="234">
        <f t="shared" si="28"/>
        <v>3.6263029507838385E-2</v>
      </c>
      <c r="DM35" s="234">
        <f t="shared" si="29"/>
        <v>48.771590921820049</v>
      </c>
      <c r="DO35" s="229">
        <f t="shared" si="127"/>
        <v>2.38</v>
      </c>
      <c r="DP35" s="229">
        <f t="shared" si="128"/>
        <v>3.49</v>
      </c>
      <c r="DQ35" s="229">
        <f t="shared" si="129"/>
        <v>3.8182518653681252</v>
      </c>
      <c r="DR35" s="229">
        <f t="shared" si="130"/>
        <v>2.9904865034881842</v>
      </c>
      <c r="DS35" s="229">
        <f t="shared" si="131"/>
        <v>2.6214922526522693</v>
      </c>
      <c r="DT35" s="229">
        <f t="shared" si="132"/>
        <v>2.38</v>
      </c>
      <c r="DU35" s="229">
        <f t="shared" si="133"/>
        <v>1.4012</v>
      </c>
      <c r="DV35" s="229">
        <f t="shared" si="134"/>
        <v>3.4207085678196614</v>
      </c>
      <c r="DW35" s="229">
        <f t="shared" si="30"/>
        <v>2.81276739866603</v>
      </c>
      <c r="DX35" s="229">
        <f t="shared" si="31"/>
        <v>0.78143672622156457</v>
      </c>
      <c r="DY35" s="229">
        <f t="shared" si="32"/>
        <v>27.781775577751834</v>
      </c>
      <c r="EA35" s="235">
        <f t="shared" si="135"/>
        <v>0.14000000000000001</v>
      </c>
      <c r="EB35" s="235">
        <f t="shared" si="136"/>
        <v>0.21015138117310089</v>
      </c>
      <c r="EC35" s="235">
        <f t="shared" si="137"/>
        <v>0.14000000000000001</v>
      </c>
      <c r="ED35" s="235">
        <f t="shared" si="138"/>
        <v>0.16443414676404508</v>
      </c>
      <c r="EE35" s="235">
        <f t="shared" si="139"/>
        <v>0.14267935398637174</v>
      </c>
      <c r="EF35" s="235">
        <f t="shared" si="140"/>
        <v>0.15945297638470354</v>
      </c>
      <c r="EG35" s="235">
        <f t="shared" si="141"/>
        <v>3.0138560413719723E-2</v>
      </c>
      <c r="EH35" s="235">
        <f t="shared" si="33"/>
        <v>18.901221599655848</v>
      </c>
      <c r="EJ35" s="229">
        <f t="shared" si="142"/>
        <v>7.5426305676856105</v>
      </c>
      <c r="EK35" s="229">
        <f t="shared" si="143"/>
        <v>15.912514096096947</v>
      </c>
      <c r="EL35" s="229">
        <f t="shared" si="144"/>
        <v>6.91</v>
      </c>
      <c r="EM35" s="229">
        <f t="shared" si="145"/>
        <v>14.4</v>
      </c>
      <c r="EN35" s="229">
        <f t="shared" si="146"/>
        <v>18.273803884155654</v>
      </c>
      <c r="EO35" s="229">
        <f t="shared" si="34"/>
        <v>19.099361089084116</v>
      </c>
      <c r="EP35" s="229">
        <f t="shared" si="147"/>
        <v>19.536779438489027</v>
      </c>
      <c r="EQ35" s="229">
        <f t="shared" si="148"/>
        <v>14.525012725073051</v>
      </c>
      <c r="ER35" s="229">
        <f t="shared" si="149"/>
        <v>5.3037529374695556</v>
      </c>
      <c r="ES35" s="229">
        <f t="shared" si="35"/>
        <v>36.514618182152965</v>
      </c>
      <c r="EU35" s="238">
        <f t="shared" si="191"/>
        <v>1.5660394929909057E-2</v>
      </c>
      <c r="EV35" s="238">
        <f t="shared" si="151"/>
        <v>1.5660394929909057E-2</v>
      </c>
      <c r="EW35" s="238" t="e">
        <f t="shared" si="152"/>
        <v>#DIV/0!</v>
      </c>
      <c r="EX35" s="238" t="e">
        <f t="shared" si="36"/>
        <v>#DIV/0!</v>
      </c>
      <c r="EZ35" s="240">
        <f t="shared" si="153"/>
        <v>2.6779275329049338E-2</v>
      </c>
      <c r="FA35" s="240">
        <f t="shared" si="154"/>
        <v>2.6779275329049338E-2</v>
      </c>
      <c r="FB35" s="240" t="e">
        <f t="shared" si="155"/>
        <v>#DIV/0!</v>
      </c>
      <c r="FC35" s="240" t="e">
        <f t="shared" si="37"/>
        <v>#DIV/0!</v>
      </c>
      <c r="FE35" s="236">
        <f t="shared" si="156"/>
        <v>0.9</v>
      </c>
      <c r="FF35" s="236">
        <f t="shared" si="157"/>
        <v>1.2</v>
      </c>
      <c r="FG35" s="236">
        <f t="shared" si="158"/>
        <v>1.3148778628630611</v>
      </c>
      <c r="FH35" s="236">
        <f t="shared" si="159"/>
        <v>1.2919825817174972</v>
      </c>
      <c r="FI35" s="236">
        <f t="shared" si="160"/>
        <v>0.9</v>
      </c>
      <c r="FJ35" s="236">
        <f t="shared" si="161"/>
        <v>1.0962276450936341</v>
      </c>
      <c r="FK35" s="236">
        <f t="shared" si="38"/>
        <v>1.117181348279032</v>
      </c>
      <c r="FL35" s="236">
        <f t="shared" si="39"/>
        <v>0.1850798994601725</v>
      </c>
      <c r="FM35" s="236">
        <f t="shared" si="40"/>
        <v>16.566683622607897</v>
      </c>
      <c r="FO35" s="227">
        <f t="shared" si="162"/>
        <v>0.3</v>
      </c>
      <c r="FP35" s="227">
        <f t="shared" si="163"/>
        <v>0.32</v>
      </c>
      <c r="FQ35" s="227">
        <f t="shared" si="164"/>
        <v>0.36016480697405101</v>
      </c>
      <c r="FR35" s="227">
        <f t="shared" si="165"/>
        <v>0.3</v>
      </c>
      <c r="FS35" s="227">
        <f t="shared" si="166"/>
        <v>0.35235888592295378</v>
      </c>
      <c r="FT35" s="227">
        <f t="shared" si="41"/>
        <v>0.32650473857940099</v>
      </c>
      <c r="FU35" s="227">
        <f t="shared" si="42"/>
        <v>2.8498908301484892E-2</v>
      </c>
      <c r="FV35" s="227">
        <f t="shared" si="43"/>
        <v>8.7284822956878436</v>
      </c>
      <c r="FX35" s="230">
        <f t="shared" si="167"/>
        <v>2.94</v>
      </c>
      <c r="FY35" s="230">
        <f t="shared" si="168"/>
        <v>1.6443414676404511</v>
      </c>
      <c r="FZ35" s="230">
        <f t="shared" si="169"/>
        <v>2.94</v>
      </c>
      <c r="GA35" s="230">
        <f t="shared" si="170"/>
        <v>3.8270727575515995</v>
      </c>
      <c r="GB35" s="230">
        <f t="shared" si="44"/>
        <v>2.8378535562980125</v>
      </c>
      <c r="GC35" s="230">
        <f t="shared" si="45"/>
        <v>0.89886846012499699</v>
      </c>
      <c r="GD35" s="230">
        <f t="shared" si="46"/>
        <v>31.674236964418039</v>
      </c>
      <c r="GF35" s="231">
        <f t="shared" si="171"/>
        <v>0.06</v>
      </c>
      <c r="GG35" s="231">
        <f t="shared" si="172"/>
        <v>0.05</v>
      </c>
      <c r="GH35" s="231">
        <f t="shared" si="173"/>
        <v>0.06</v>
      </c>
      <c r="GI35" s="231">
        <f t="shared" si="174"/>
        <v>6.2641579719636228E-2</v>
      </c>
      <c r="GJ35" s="245">
        <f t="shared" si="187"/>
        <v>5.8160394929909057E-2</v>
      </c>
      <c r="GK35" s="231">
        <f t="shared" si="188"/>
        <v>5.580960376123335E-3</v>
      </c>
      <c r="GL35" s="231">
        <f t="shared" si="47"/>
        <v>9.5958089398277444</v>
      </c>
      <c r="GN35" s="246">
        <f t="shared" si="175"/>
        <v>0.18</v>
      </c>
      <c r="GO35" s="246">
        <f t="shared" si="176"/>
        <v>0.18</v>
      </c>
      <c r="GP35" s="246">
        <f t="shared" si="177"/>
        <v>0.16443414676404508</v>
      </c>
      <c r="GQ35" s="247">
        <f t="shared" si="189"/>
        <v>0.17481138225468171</v>
      </c>
      <c r="GR35" s="246">
        <f t="shared" si="190"/>
        <v>8.9869495559447756E-3</v>
      </c>
      <c r="GS35" s="246">
        <f t="shared" si="48"/>
        <v>5.1409407328246743</v>
      </c>
      <c r="GU35" s="249">
        <f t="shared" si="178"/>
        <v>2.1454741053975407E-2</v>
      </c>
      <c r="GV35" s="249">
        <f t="shared" si="179"/>
        <v>2.1454741053975407E-2</v>
      </c>
      <c r="GW35" s="249" t="e">
        <f t="shared" si="180"/>
        <v>#DIV/0!</v>
      </c>
      <c r="GX35" s="249" t="e">
        <f t="shared" si="49"/>
        <v>#DIV/0!</v>
      </c>
      <c r="GZ35" s="240">
        <f t="shared" si="181"/>
        <v>2.3490592394863587E-2</v>
      </c>
      <c r="HA35" s="240">
        <f t="shared" si="182"/>
        <v>2.3490592394863587E-2</v>
      </c>
      <c r="HB35" s="240" t="e">
        <f t="shared" si="183"/>
        <v>#DIV/0!</v>
      </c>
      <c r="HC35" s="240" t="e">
        <f t="shared" si="50"/>
        <v>#DIV/0!</v>
      </c>
      <c r="HE35" s="234">
        <f t="shared" si="184"/>
        <v>9.2749149832958871E-2</v>
      </c>
      <c r="HF35" s="251">
        <f t="shared" si="185"/>
        <v>9.2749149832958871E-2</v>
      </c>
      <c r="HG35" s="234" t="e">
        <f t="shared" si="186"/>
        <v>#DIV/0!</v>
      </c>
      <c r="HH35" s="234" t="e">
        <f t="shared" si="51"/>
        <v>#DIV/0!</v>
      </c>
    </row>
    <row r="36" spans="2:216" ht="15.6" x14ac:dyDescent="0.25">
      <c r="B36">
        <v>32</v>
      </c>
      <c r="C36" s="124">
        <f t="shared" si="52"/>
        <v>78.346266281146001</v>
      </c>
      <c r="D36" s="124">
        <f t="shared" si="53"/>
        <v>179.57559499719355</v>
      </c>
      <c r="E36" s="29">
        <f t="shared" ref="E36:E67" si="201">EXP(-3.75+0.42*LN(D36)+0.52*LN(C36))</f>
        <v>2.0094124234126824</v>
      </c>
      <c r="F36" s="29">
        <f t="shared" ref="F36:F67" si="202">0.007184*C36^0.425*D36^0.725</f>
        <v>1.975392523398676</v>
      </c>
      <c r="G36" s="29">
        <f t="shared" ref="G36:G67" si="203">(C36^0.515*D36^0.422)*234.9/10000</f>
        <v>1.9842427859364744</v>
      </c>
      <c r="H36" s="29">
        <f t="shared" ref="H36:H67" si="204">EXP(-3.75 + 0.42 * LN(D36) + 0.52 * LN(C36) )</f>
        <v>2.0094124234126824</v>
      </c>
      <c r="I36" s="29">
        <f t="shared" ref="I36:I67" si="205">IF(B36&lt;18, 0.024265 *C36^0.5378 * D36^0.3964, SQRT(C36* D36/3600))</f>
        <v>1.9768856949508962</v>
      </c>
      <c r="J36" s="125">
        <f t="shared" ref="J36:J67" si="206">AVERAGE(E36:I36)</f>
        <v>1.9910691702222825</v>
      </c>
      <c r="K36" s="126">
        <f t="shared" ref="K36:K68" si="207">STDEV(E36:I36)</f>
        <v>1.7076867570180156E-2</v>
      </c>
      <c r="L36" s="126">
        <f t="shared" si="55"/>
        <v>0.85767324538874246</v>
      </c>
      <c r="N36" s="138">
        <f t="shared" si="56"/>
        <v>418.1245257466793</v>
      </c>
      <c r="O36" s="138">
        <f t="shared" si="57"/>
        <v>325.79239999999999</v>
      </c>
      <c r="P36" s="138">
        <f t="shared" si="58"/>
        <v>382.75445837897325</v>
      </c>
      <c r="Q36" s="138">
        <f t="shared" si="59"/>
        <v>417.38606514695493</v>
      </c>
      <c r="R36" s="138">
        <f t="shared" si="60"/>
        <v>418.1245257466793</v>
      </c>
      <c r="S36" s="138">
        <f t="shared" si="61"/>
        <v>393.26342515136031</v>
      </c>
      <c r="T36" s="138">
        <f t="shared" si="62"/>
        <v>392.57423336177453</v>
      </c>
      <c r="U36" s="138">
        <f t="shared" si="63"/>
        <v>35.994383205272008</v>
      </c>
      <c r="V36" s="138">
        <f t="shared" si="64"/>
        <v>9.1688093986804251</v>
      </c>
      <c r="X36" s="227">
        <f t="shared" si="65"/>
        <v>0.44871601119999999</v>
      </c>
      <c r="Y36" s="227">
        <f t="shared" si="66"/>
        <v>0.47</v>
      </c>
      <c r="Z36" s="227">
        <f t="shared" si="67"/>
        <v>0.44871601119999999</v>
      </c>
      <c r="AA36" s="227">
        <f t="shared" si="68"/>
        <v>0.45581067413333326</v>
      </c>
      <c r="AB36" s="227">
        <f t="shared" si="69"/>
        <v>1.2288316663108973E-2</v>
      </c>
      <c r="AC36" s="227">
        <f t="shared" si="70"/>
        <v>2.6959256025483969</v>
      </c>
      <c r="AE36" s="228">
        <f t="shared" si="71"/>
        <v>4.4489356632456269</v>
      </c>
      <c r="AF36" s="228">
        <f t="shared" si="72"/>
        <v>5.2850000000000001</v>
      </c>
      <c r="AG36" s="228">
        <f t="shared" si="73"/>
        <v>4.4489356632456269</v>
      </c>
      <c r="AH36" s="228">
        <f t="shared" si="74"/>
        <v>7.0255120518234264</v>
      </c>
      <c r="AI36" s="228">
        <f t="shared" si="75"/>
        <v>5.2850000000000001</v>
      </c>
      <c r="AJ36" s="228">
        <f t="shared" si="76"/>
        <v>5.9621508420830276</v>
      </c>
      <c r="AK36" s="228">
        <f t="shared" si="77"/>
        <v>5.4908116385284913</v>
      </c>
      <c r="AL36" s="228">
        <f t="shared" si="78"/>
        <v>5.4209065512751717</v>
      </c>
      <c r="AM36" s="228">
        <f t="shared" si="79"/>
        <v>0.89433279708568236</v>
      </c>
      <c r="AN36" s="228">
        <f t="shared" si="80"/>
        <v>16.497845676297565</v>
      </c>
      <c r="AP36" s="229">
        <f t="shared" si="192"/>
        <v>1.4023173060232597</v>
      </c>
      <c r="AQ36" s="229">
        <f t="shared" si="193"/>
        <v>1.4</v>
      </c>
      <c r="AR36" s="229">
        <f t="shared" si="194"/>
        <v>1.47</v>
      </c>
      <c r="AS36" s="229">
        <f t="shared" si="195"/>
        <v>1.4597294066413193</v>
      </c>
      <c r="AT36" s="229">
        <f t="shared" si="196"/>
        <v>1.4023173060232597</v>
      </c>
      <c r="AU36" s="229">
        <f t="shared" si="197"/>
        <v>0.60735357806500556</v>
      </c>
      <c r="AV36" s="229">
        <f t="shared" si="198"/>
        <v>1.4</v>
      </c>
      <c r="AW36" s="229">
        <f t="shared" si="199"/>
        <v>1.4499991556424716</v>
      </c>
      <c r="AX36" s="229">
        <f t="shared" si="200"/>
        <v>1.4431286582390175</v>
      </c>
      <c r="AY36" s="229">
        <f t="shared" si="90"/>
        <v>1.3372050456260369</v>
      </c>
      <c r="AZ36" s="229">
        <f t="shared" si="91"/>
        <v>0.27514492365649112</v>
      </c>
      <c r="BA36" s="229">
        <f t="shared" si="92"/>
        <v>20.576120659765909</v>
      </c>
      <c r="BC36" s="230">
        <f t="shared" si="93"/>
        <v>9.65</v>
      </c>
      <c r="BD36" s="230">
        <f t="shared" si="94"/>
        <v>11.73</v>
      </c>
      <c r="BE36" s="230">
        <f t="shared" si="95"/>
        <v>9.65</v>
      </c>
      <c r="BF36" s="230">
        <f t="shared" si="96"/>
        <v>9.2001230034651122</v>
      </c>
      <c r="BG36" s="230">
        <f t="shared" si="97"/>
        <v>10.057530750866277</v>
      </c>
      <c r="BH36" s="230">
        <f t="shared" si="98"/>
        <v>1.1349690246000435</v>
      </c>
      <c r="BI36" s="230">
        <f t="shared" si="99"/>
        <v>11.284768127627013</v>
      </c>
      <c r="BK36" s="227">
        <f t="shared" ref="BK36:BK67" si="208">IF(B36 &lt; 18,  (0.535 * B36^3 + 56.937 * B36^2 - 124.25 * B36 + 1051.3) / 1040,19.6)</f>
        <v>19.600000000000001</v>
      </c>
      <c r="BL36" s="227">
        <f t="shared" ref="BL36:BL67" si="209">IF(B36 &lt; 18,  (1.26*10^(-1) * (B36 * 365.25 * 24) + 7.76*10^(-6) * (B36 * 365.25 * 24)^(1.76) + 9.5*10^(-2))/1000,31.73)</f>
        <v>31.73</v>
      </c>
      <c r="BM36" s="227">
        <f t="shared" ref="BM36:BM67" si="210">IF(B36 &lt; 3, 9.561*10^(-2) * C36 + 1.601*10^(-2) * D36 + 1.097*10^(-1) * B36, IF( B36 &lt; 18, 2.789*10^(-1) * C36 - 6.358*10^(-2) * D36 + 9.85*10^(-1) * B36 + 2.167, 2.598*10^(-1) * C36 + 1.206*10^(-1) * D36 - 4.3*10^(-3) * B36 - 1.11))</f>
        <v>40.763576736503275</v>
      </c>
      <c r="BN36" s="227">
        <f t="shared" ref="BN36:BN67" si="211">(0.1251 + 0.00001458 * (C36*1000) - 0.0000000002927 *(C36*1000)^2 + 0.000000000000002114 * (C36*1000)^3 - 5.25E-21 * (C36*1000)^4) * C36</f>
        <v>22.687183715651525</v>
      </c>
      <c r="BO36" s="227">
        <f t="shared" ref="BO36:BO67" si="212">IF(B36 &lt; 18, (0.535 * B36^3 + 56.937 * B36^2 - 124.25*B36 + 1051.3) / 1040, 19.6)</f>
        <v>19.600000000000001</v>
      </c>
      <c r="BP36" s="227">
        <f t="shared" ref="BP36:BP67" si="213">IF(B36 &lt;= 24.3, (0.3973 + (0.201 - 0.3973) * EXP(-0.141 * B36)) * C36,  (0.3973 + (0.201 - 0.3973) * EXP(-0.141 *B36)) * C36 * (-0.0001264 * B36^2 + 0.006131 * B36 + 0.926) )</f>
        <v>30.733973530505189</v>
      </c>
      <c r="BQ36" s="227">
        <f t="shared" ref="BQ36:BQ67" si="214">IF(B36 &lt; 19, (12.4 /(1 + (6.5 * EXP(-0.55 * B36)))) + (19.7 / (1 + EXP(-0.85 * (B36 - 13.7)))), 31.86)</f>
        <v>31.86</v>
      </c>
      <c r="BR36" s="227">
        <f t="shared" si="100"/>
        <v>28.139247711808569</v>
      </c>
      <c r="BS36" s="227">
        <f t="shared" si="101"/>
        <v>7.8358821006172379</v>
      </c>
      <c r="BT36" s="227">
        <f t="shared" ref="BT36:BT67" si="215">(BS36/BR36)*100</f>
        <v>27.846807352027852</v>
      </c>
      <c r="BV36" s="231">
        <f t="shared" si="102"/>
        <v>0.26</v>
      </c>
      <c r="BW36" s="231">
        <f t="shared" si="103"/>
        <v>0.31509187825029217</v>
      </c>
      <c r="BX36" s="231">
        <f t="shared" si="104"/>
        <v>0.31829224852183391</v>
      </c>
      <c r="BY36" s="231">
        <f t="shared" si="105"/>
        <v>0.26</v>
      </c>
      <c r="BZ36" s="231">
        <f t="shared" si="106"/>
        <v>0.3293082457266911</v>
      </c>
      <c r="CA36" s="231">
        <f t="shared" si="107"/>
        <v>0.31901325622679888</v>
      </c>
      <c r="CB36" s="231">
        <f t="shared" si="108"/>
        <v>0.48</v>
      </c>
      <c r="CC36" s="231">
        <f t="shared" si="109"/>
        <v>0.47472964658131256</v>
      </c>
      <c r="CD36" s="231">
        <f t="shared" si="110"/>
        <v>0.34455440941336607</v>
      </c>
      <c r="CE36" s="231">
        <f t="shared" si="111"/>
        <v>8.6216119253609225E-2</v>
      </c>
      <c r="CF36" s="231">
        <f t="shared" ref="CF36:CF67" si="216">(CE36/CD36)*100</f>
        <v>25.022497724060383</v>
      </c>
      <c r="CH36" s="232">
        <f t="shared" si="112"/>
        <v>1.483229964009745</v>
      </c>
      <c r="CI36" s="232">
        <f t="shared" si="113"/>
        <v>1.52</v>
      </c>
      <c r="CJ36" s="232">
        <f t="shared" si="114"/>
        <v>2.1</v>
      </c>
      <c r="CK36" s="232">
        <f t="shared" si="115"/>
        <v>1.9363382592777998</v>
      </c>
      <c r="CL36" s="232">
        <f t="shared" si="116"/>
        <v>1.9154676941594702</v>
      </c>
      <c r="CM36" s="232">
        <f t="shared" si="117"/>
        <v>1.5043377007962868</v>
      </c>
      <c r="CN36" s="232">
        <f t="shared" si="118"/>
        <v>1.4861358004565717</v>
      </c>
      <c r="CO36" s="232">
        <f t="shared" si="119"/>
        <v>1.8396892390331121</v>
      </c>
      <c r="CP36" s="232">
        <f t="shared" si="120"/>
        <v>1.52</v>
      </c>
      <c r="CQ36" s="232">
        <f t="shared" si="121"/>
        <v>1.4986222642295324</v>
      </c>
      <c r="CR36" s="232">
        <f t="shared" si="122"/>
        <v>1.6803820921962518</v>
      </c>
      <c r="CS36" s="232">
        <f t="shared" si="123"/>
        <v>0.23905146647248912</v>
      </c>
      <c r="CT36" s="232">
        <f t="shared" ref="CT36:CT67" si="217">(CS36/CR36)*100</f>
        <v>14.226018450366245</v>
      </c>
      <c r="CV36" s="229">
        <f t="shared" ref="CV36:CV67" si="218">IF(B36 &lt; 18, (-0.0346 * B36^4 + 1.5069 * B36^3 - 20.31 * B36^2 + 123.99 * B36 + 59.213) / 1050, 0.83)</f>
        <v>0.83</v>
      </c>
      <c r="CW36" s="229">
        <f t="shared" ref="CW36:CW67" si="219">IF(B36&lt; 18, (9.74*10^(-2) * (B36*365.25*24) + 6.33*10^(-2) * (B36 * 365.25*24)^(9.98*10^-1) + 3.8*10^1) / 25000, 1.19)</f>
        <v>1.19</v>
      </c>
      <c r="CX36" s="229">
        <f t="shared" ref="CX36:CX67" si="220">-1.454*10^(-2) + 7.269*10^(-4) * B36+ 9.329*10^(-6) * B36^2 + 6.43*10^(-3) * C36 + 3.083*10^-5 * C36^2</f>
        <v>0.7112789654690187</v>
      </c>
      <c r="CY36" s="229">
        <f t="shared" ref="CY36:CY67" si="221">EXP(-2.092 * ((D36/100)^(-2.1)))</f>
        <v>0.54234861922489586</v>
      </c>
      <c r="CZ36" s="229">
        <f t="shared" ref="CZ36:CZ67" si="222">(1.86*10^(-2) - 4.55*10^(-8) * C36*1000) * C36</f>
        <v>1.1779552993003872</v>
      </c>
      <c r="DA36" s="229">
        <f t="shared" ref="DA36:DA67" si="223">IF(B36 &lt; 18, (-0.0346 * B36^4 + 1.5069 * B36^3 - 20.31 *B36^2 + 123.99 * B36 + 59.213) / 1050, 0.83)</f>
        <v>0.83</v>
      </c>
      <c r="DB36" s="229">
        <f t="shared" ref="DB36:DB67" si="224">0.0068 * C36</f>
        <v>0.53275461071179275</v>
      </c>
      <c r="DC36" s="229">
        <f t="shared" ref="DC36:DC67" si="225">IF(B36 &lt; 18, ((29.08 * (D36/100) * SQRT(C36) + 11.06) + (35.47 * (D36/100) * SQRT(C36) + 5.53)) / 1050, 0.89)</f>
        <v>0.89</v>
      </c>
      <c r="DD36" s="229">
        <f t="shared" ref="DD36:DD67" si="226">AVERAGE(CV36:DC36)</f>
        <v>0.83804218683826182</v>
      </c>
      <c r="DE36" s="229">
        <f t="shared" ref="DE36:DE67" si="227">STDEV(CV36:DC36)</f>
        <v>0.25041345768066919</v>
      </c>
      <c r="DF36" s="229">
        <f t="shared" ref="DF36:DF67" si="228">(DE36/DD36)*100</f>
        <v>29.880769919879679</v>
      </c>
      <c r="DH36" s="234">
        <f t="shared" si="124"/>
        <v>4.7359999999999999E-2</v>
      </c>
      <c r="DI36" s="234">
        <f t="shared" si="125"/>
        <v>6.4000000000000001E-2</v>
      </c>
      <c r="DJ36" s="234">
        <f t="shared" si="126"/>
        <v>0.1148429368529917</v>
      </c>
      <c r="DK36" s="234">
        <f t="shared" ref="DK36:DK67" si="229">AVERAGE(DH36:DJ36)</f>
        <v>7.5400978950997233E-2</v>
      </c>
      <c r="DL36" s="234">
        <f t="shared" ref="DL36:DL67" si="230">STDEV(DH36:DJ36)</f>
        <v>3.5156413815362719E-2</v>
      </c>
      <c r="DM36" s="234">
        <f t="shared" ref="DM36:DM67" si="231">(DL36/DK36)*100</f>
        <v>46.62593815686494</v>
      </c>
      <c r="DO36" s="229">
        <f t="shared" si="127"/>
        <v>2.38</v>
      </c>
      <c r="DP36" s="229">
        <f t="shared" si="128"/>
        <v>3.49</v>
      </c>
      <c r="DQ36" s="229">
        <f t="shared" si="129"/>
        <v>3.8132840821953806</v>
      </c>
      <c r="DR36" s="229">
        <f t="shared" si="130"/>
        <v>2.9866037553334239</v>
      </c>
      <c r="DS36" s="229">
        <f t="shared" si="131"/>
        <v>2.6226495145061519</v>
      </c>
      <c r="DT36" s="229">
        <f t="shared" si="132"/>
        <v>2.38</v>
      </c>
      <c r="DU36" s="229">
        <f t="shared" si="133"/>
        <v>1.4463999999999999</v>
      </c>
      <c r="DV36" s="229">
        <f t="shared" si="134"/>
        <v>3.4062179670126458</v>
      </c>
      <c r="DW36" s="229">
        <f t="shared" ref="DW36:DW67" si="232">AVERAGE(DO36:DV36)</f>
        <v>2.8156444148809507</v>
      </c>
      <c r="DX36" s="229">
        <f t="shared" ref="DX36:DX67" si="233">STDEV(DO36:DV36)</f>
        <v>0.76715559878527628</v>
      </c>
      <c r="DY36" s="229">
        <f t="shared" ref="DY36:DY67" si="234">(DX36/DW36)*100</f>
        <v>27.246181894659188</v>
      </c>
      <c r="EA36" s="235">
        <f t="shared" si="135"/>
        <v>0.14000000000000001</v>
      </c>
      <c r="EB36" s="235">
        <f t="shared" si="136"/>
        <v>0.21025092525528252</v>
      </c>
      <c r="EC36" s="235">
        <f t="shared" si="137"/>
        <v>0.14000000000000001</v>
      </c>
      <c r="ED36" s="235">
        <f t="shared" si="138"/>
        <v>0.16452715919040659</v>
      </c>
      <c r="EE36" s="235">
        <f t="shared" si="139"/>
        <v>0.14229696334258329</v>
      </c>
      <c r="EF36" s="235">
        <f t="shared" si="140"/>
        <v>0.15941500955765447</v>
      </c>
      <c r="EG36" s="235">
        <f t="shared" si="141"/>
        <v>3.0237960815641004E-2</v>
      </c>
      <c r="EH36" s="235">
        <f t="shared" ref="EH36:EH67" si="235">(EG36/EF36)*100</f>
        <v>18.968076406070821</v>
      </c>
      <c r="EJ36" s="229">
        <f t="shared" si="142"/>
        <v>7.5426305676856105</v>
      </c>
      <c r="EK36" s="229">
        <f t="shared" si="143"/>
        <v>15.900793821287882</v>
      </c>
      <c r="EL36" s="229">
        <f t="shared" si="144"/>
        <v>6.91</v>
      </c>
      <c r="EM36" s="229">
        <f t="shared" si="145"/>
        <v>14.4</v>
      </c>
      <c r="EN36" s="229">
        <f t="shared" si="146"/>
        <v>18.482747236538543</v>
      </c>
      <c r="EO36" s="229">
        <f t="shared" ref="EO36:EO68" si="236">IF(B36 &lt; 20, ((2.8975 * EXP(-0.129 * B36) + 0.67) * (C36/(D36/100)^2) + 0.2635 * B36 - 4.843) * C36 / 100, (-5.33798 * (C36/(D36/100)^2) + 0.11149 * (C36/(D36/100)^2)^2 + 0.09795 * B36+ 85.24521) * C36/ 100)</f>
        <v>19.194879728237389</v>
      </c>
      <c r="EP36" s="229">
        <f t="shared" si="147"/>
        <v>19.566878957924388</v>
      </c>
      <c r="EQ36" s="229">
        <f t="shared" si="148"/>
        <v>14.571132901667687</v>
      </c>
      <c r="ER36" s="229">
        <f t="shared" si="149"/>
        <v>5.3467642412115293</v>
      </c>
      <c r="ES36" s="229">
        <f t="shared" ref="ES36:ES67" si="237">(ER36/EQ36)*100</f>
        <v>36.694224651534022</v>
      </c>
      <c r="EU36" s="238">
        <f t="shared" si="191"/>
        <v>1.5669253256229202E-2</v>
      </c>
      <c r="EV36" s="238">
        <f t="shared" si="151"/>
        <v>1.5669253256229202E-2</v>
      </c>
      <c r="EW36" s="238" t="e">
        <f t="shared" si="152"/>
        <v>#DIV/0!</v>
      </c>
      <c r="EX36" s="238" t="e">
        <f t="shared" ref="EX36:EX67" si="238">(EW36/EV36)*100</f>
        <v>#DIV/0!</v>
      </c>
      <c r="EZ36" s="240">
        <f t="shared" si="153"/>
        <v>2.6794423067887072E-2</v>
      </c>
      <c r="FA36" s="240">
        <f t="shared" si="154"/>
        <v>2.6794423067887072E-2</v>
      </c>
      <c r="FB36" s="240" t="e">
        <f t="shared" si="155"/>
        <v>#DIV/0!</v>
      </c>
      <c r="FC36" s="240" t="e">
        <f t="shared" ref="FC36:FC67" si="239">(FB36/FA36)*100</f>
        <v>#DIV/0!</v>
      </c>
      <c r="FE36" s="236">
        <f t="shared" si="156"/>
        <v>0.9</v>
      </c>
      <c r="FF36" s="236">
        <f t="shared" si="157"/>
        <v>1.2</v>
      </c>
      <c r="FG36" s="236">
        <f t="shared" si="158"/>
        <v>1.3146780428001072</v>
      </c>
      <c r="FH36" s="236">
        <f t="shared" si="159"/>
        <v>1.292713393638909</v>
      </c>
      <c r="FI36" s="236">
        <f t="shared" si="160"/>
        <v>0.9</v>
      </c>
      <c r="FJ36" s="236">
        <f t="shared" si="161"/>
        <v>1.096847727936044</v>
      </c>
      <c r="FK36" s="236">
        <f t="shared" ref="FK36:FK67" si="240">AVERAGE(FE36:FJ36)</f>
        <v>1.11737319406251</v>
      </c>
      <c r="FL36" s="236">
        <f t="shared" ref="FL36:FL67" si="241">STDEV(FE36:FJ36)</f>
        <v>0.1851615963075893</v>
      </c>
      <c r="FM36" s="236">
        <f t="shared" ref="FM36:FM67" si="242">(FL36/FK36)*100</f>
        <v>16.571150739206892</v>
      </c>
      <c r="FO36" s="227">
        <f t="shared" si="162"/>
        <v>0.3</v>
      </c>
      <c r="FP36" s="227">
        <f t="shared" si="163"/>
        <v>0.32</v>
      </c>
      <c r="FQ36" s="227">
        <f t="shared" si="164"/>
        <v>0.35919766130720149</v>
      </c>
      <c r="FR36" s="227">
        <f t="shared" si="165"/>
        <v>0.3</v>
      </c>
      <c r="FS36" s="227">
        <f t="shared" si="166"/>
        <v>0.352558198265157</v>
      </c>
      <c r="FT36" s="227">
        <f t="shared" ref="FT36:FT67" si="243">AVERAGE(FO36:FS36)</f>
        <v>0.32635117191447172</v>
      </c>
      <c r="FU36" s="227">
        <f t="shared" ref="FU36:FU67" si="244">STDEV(FO36:FS36)</f>
        <v>2.8261307483870429E-2</v>
      </c>
      <c r="FV36" s="227">
        <f t="shared" ref="FV36:FV67" si="245">(FU36/FT36)*100</f>
        <v>8.6597842802528664</v>
      </c>
      <c r="FX36" s="230">
        <f t="shared" si="167"/>
        <v>2.94</v>
      </c>
      <c r="FY36" s="230">
        <f t="shared" si="168"/>
        <v>1.6452715919040661</v>
      </c>
      <c r="FZ36" s="230">
        <f t="shared" si="169"/>
        <v>2.94</v>
      </c>
      <c r="GA36" s="230">
        <f t="shared" si="170"/>
        <v>3.8385696803881388</v>
      </c>
      <c r="GB36" s="230">
        <f t="shared" ref="GB36:GB67" si="246">AVERAGE(FW36:GA36)</f>
        <v>2.8409603180730509</v>
      </c>
      <c r="GC36" s="230">
        <f t="shared" ref="GC36:GC67" si="247">STDEV(FW36:GA36)</f>
        <v>0.90268371848592177</v>
      </c>
      <c r="GD36" s="230">
        <f t="shared" ref="GD36:GD67" si="248">(GC36/GB36)*100</f>
        <v>31.773893945065328</v>
      </c>
      <c r="GF36" s="231">
        <f t="shared" si="171"/>
        <v>0.06</v>
      </c>
      <c r="GG36" s="231">
        <f t="shared" si="172"/>
        <v>0.05</v>
      </c>
      <c r="GH36" s="231">
        <f t="shared" si="173"/>
        <v>0.06</v>
      </c>
      <c r="GI36" s="231">
        <f t="shared" si="174"/>
        <v>6.2677013024916808E-2</v>
      </c>
      <c r="GJ36" s="245">
        <f t="shared" si="187"/>
        <v>5.8169253256229195E-2</v>
      </c>
      <c r="GK36" s="231">
        <f t="shared" si="188"/>
        <v>5.590464028929521E-3</v>
      </c>
      <c r="GL36" s="231">
        <f t="shared" ref="GL36:GL67" si="249">(GK36/GJ36)*100</f>
        <v>9.6106855700968659</v>
      </c>
      <c r="GN36" s="246">
        <f t="shared" si="175"/>
        <v>0.18</v>
      </c>
      <c r="GO36" s="246">
        <f t="shared" si="176"/>
        <v>0.18</v>
      </c>
      <c r="GP36" s="246">
        <f t="shared" si="177"/>
        <v>0.16452715919040659</v>
      </c>
      <c r="GQ36" s="247">
        <f t="shared" si="189"/>
        <v>0.17484238639680219</v>
      </c>
      <c r="GR36" s="246">
        <f t="shared" si="190"/>
        <v>8.9332488065469815E-3</v>
      </c>
      <c r="GS36" s="246">
        <f t="shared" ref="GS36:GS67" si="250">(GR36/GQ36)*100</f>
        <v>5.1093153042838857</v>
      </c>
      <c r="GU36" s="249">
        <f t="shared" si="178"/>
        <v>2.1466876961034005E-2</v>
      </c>
      <c r="GV36" s="249">
        <f t="shared" si="179"/>
        <v>2.1466876961034005E-2</v>
      </c>
      <c r="GW36" s="249" t="e">
        <f t="shared" si="180"/>
        <v>#DIV/0!</v>
      </c>
      <c r="GX36" s="249" t="e">
        <f t="shared" ref="GX36:GX67" si="251">(GW36/GV36)*100</f>
        <v>#DIV/0!</v>
      </c>
      <c r="GZ36" s="240">
        <f t="shared" si="181"/>
        <v>2.3503879884343801E-2</v>
      </c>
      <c r="HA36" s="240">
        <f t="shared" si="182"/>
        <v>2.3503879884343801E-2</v>
      </c>
      <c r="HB36" s="240" t="e">
        <f t="shared" si="183"/>
        <v>#DIV/0!</v>
      </c>
      <c r="HC36" s="240" t="e">
        <f t="shared" ref="HC36:HC67" si="252">(HB36/HA36)*100</f>
        <v>#DIV/0!</v>
      </c>
      <c r="HE36" s="234">
        <f t="shared" si="184"/>
        <v>9.2801856874563729E-2</v>
      </c>
      <c r="HF36" s="251">
        <f t="shared" si="185"/>
        <v>9.2801856874563729E-2</v>
      </c>
      <c r="HG36" s="234" t="e">
        <f t="shared" si="186"/>
        <v>#DIV/0!</v>
      </c>
      <c r="HH36" s="234" t="e">
        <f t="shared" ref="HH36:HH67" si="253">(HG36/HF36)*100</f>
        <v>#DIV/0!</v>
      </c>
    </row>
    <row r="37" spans="2:216" ht="15.6" x14ac:dyDescent="0.25">
      <c r="B37">
        <v>33</v>
      </c>
      <c r="C37" s="124">
        <f t="shared" si="52"/>
        <v>78.419693460915155</v>
      </c>
      <c r="D37" s="124">
        <f t="shared" si="53"/>
        <v>178.97180623684235</v>
      </c>
      <c r="E37" s="29">
        <f t="shared" si="201"/>
        <v>2.007549704622424</v>
      </c>
      <c r="F37" s="29">
        <f t="shared" si="202"/>
        <v>1.9713596296059512</v>
      </c>
      <c r="G37" s="29">
        <f t="shared" si="203"/>
        <v>1.9823807607519113</v>
      </c>
      <c r="H37" s="29">
        <f t="shared" si="204"/>
        <v>2.007549704622424</v>
      </c>
      <c r="I37" s="29">
        <f t="shared" si="205"/>
        <v>1.9744840523848446</v>
      </c>
      <c r="J37" s="125">
        <f t="shared" si="206"/>
        <v>1.9886647703975111</v>
      </c>
      <c r="K37" s="126">
        <f t="shared" si="207"/>
        <v>1.7701207019261693E-2</v>
      </c>
      <c r="L37" s="126">
        <f t="shared" si="55"/>
        <v>0.89010512393818031</v>
      </c>
      <c r="N37" s="138">
        <f t="shared" si="56"/>
        <v>417.61960178347726</v>
      </c>
      <c r="O37" s="138">
        <f t="shared" si="57"/>
        <v>325.79239999999999</v>
      </c>
      <c r="P37" s="138">
        <f t="shared" si="58"/>
        <v>380.6387880714243</v>
      </c>
      <c r="Q37" s="138">
        <f t="shared" si="59"/>
        <v>417.6836805671972</v>
      </c>
      <c r="R37" s="138">
        <f t="shared" si="60"/>
        <v>417.61960178347726</v>
      </c>
      <c r="S37" s="138">
        <f t="shared" si="61"/>
        <v>393.91482972476979</v>
      </c>
      <c r="T37" s="138">
        <f t="shared" si="62"/>
        <v>392.21148365505769</v>
      </c>
      <c r="U37" s="138">
        <f t="shared" si="63"/>
        <v>36.023051213545088</v>
      </c>
      <c r="V37" s="138">
        <f t="shared" si="64"/>
        <v>9.1845987980368911</v>
      </c>
      <c r="X37" s="227">
        <f t="shared" si="65"/>
        <v>0.44924022855000001</v>
      </c>
      <c r="Y37" s="227">
        <f t="shared" si="66"/>
        <v>0.47</v>
      </c>
      <c r="Z37" s="227">
        <f t="shared" si="67"/>
        <v>0.44924022855000001</v>
      </c>
      <c r="AA37" s="227">
        <f t="shared" si="68"/>
        <v>0.45616015236666668</v>
      </c>
      <c r="AB37" s="227">
        <f t="shared" si="69"/>
        <v>1.1985659634972588E-2</v>
      </c>
      <c r="AC37" s="227">
        <f t="shared" si="70"/>
        <v>2.6275113187305275</v>
      </c>
      <c r="AE37" s="228">
        <f t="shared" si="71"/>
        <v>4.4424454243845659</v>
      </c>
      <c r="AF37" s="228">
        <f t="shared" si="72"/>
        <v>5.2850000000000001</v>
      </c>
      <c r="AG37" s="228">
        <f t="shared" si="73"/>
        <v>4.4424454243845659</v>
      </c>
      <c r="AH37" s="228">
        <f t="shared" si="74"/>
        <v>7.0320944419250262</v>
      </c>
      <c r="AI37" s="228">
        <f t="shared" si="75"/>
        <v>5.2850000000000001</v>
      </c>
      <c r="AJ37" s="228">
        <f t="shared" si="76"/>
        <v>5.9677386602420306</v>
      </c>
      <c r="AK37" s="228">
        <f t="shared" si="77"/>
        <v>5.4832581937959546</v>
      </c>
      <c r="AL37" s="228">
        <f t="shared" si="78"/>
        <v>5.4197117349617345</v>
      </c>
      <c r="AM37" s="228">
        <f t="shared" si="79"/>
        <v>0.89912392950285303</v>
      </c>
      <c r="AN37" s="228">
        <f t="shared" si="80"/>
        <v>16.589884729527984</v>
      </c>
      <c r="AP37" s="229">
        <f t="shared" si="192"/>
        <v>1.4035642062689586</v>
      </c>
      <c r="AQ37" s="229">
        <f t="shared" si="193"/>
        <v>1.4</v>
      </c>
      <c r="AR37" s="229">
        <f t="shared" si="194"/>
        <v>1.47</v>
      </c>
      <c r="AS37" s="229">
        <f t="shared" si="195"/>
        <v>1.4526907242079659</v>
      </c>
      <c r="AT37" s="229">
        <f t="shared" si="196"/>
        <v>1.4035642062689586</v>
      </c>
      <c r="AU37" s="229">
        <f t="shared" si="197"/>
        <v>0.62589346076670105</v>
      </c>
      <c r="AV37" s="229">
        <f t="shared" si="198"/>
        <v>1.4</v>
      </c>
      <c r="AW37" s="229">
        <f t="shared" si="199"/>
        <v>1.4499994562029992</v>
      </c>
      <c r="AX37" s="229">
        <f t="shared" si="200"/>
        <v>1.4408361588672682</v>
      </c>
      <c r="AY37" s="229">
        <f t="shared" si="90"/>
        <v>1.3385053569536502</v>
      </c>
      <c r="AZ37" s="229">
        <f t="shared" si="91"/>
        <v>0.2685786363002034</v>
      </c>
      <c r="BA37" s="229">
        <f t="shared" si="92"/>
        <v>20.065563047985897</v>
      </c>
      <c r="BC37" s="230">
        <f t="shared" si="93"/>
        <v>9.65</v>
      </c>
      <c r="BD37" s="230">
        <f t="shared" si="94"/>
        <v>11.73</v>
      </c>
      <c r="BE37" s="230">
        <f t="shared" si="95"/>
        <v>9.65</v>
      </c>
      <c r="BF37" s="230">
        <f t="shared" si="96"/>
        <v>9.2001230498994016</v>
      </c>
      <c r="BG37" s="230">
        <f t="shared" si="97"/>
        <v>10.057530762474851</v>
      </c>
      <c r="BH37" s="230">
        <f t="shared" si="98"/>
        <v>1.1349690129071786</v>
      </c>
      <c r="BI37" s="230">
        <f t="shared" si="99"/>
        <v>11.284767998342144</v>
      </c>
      <c r="BK37" s="227">
        <f t="shared" si="208"/>
        <v>19.600000000000001</v>
      </c>
      <c r="BL37" s="227">
        <f t="shared" si="209"/>
        <v>31.73</v>
      </c>
      <c r="BM37" s="227">
        <f t="shared" si="210"/>
        <v>40.705536193308944</v>
      </c>
      <c r="BN37" s="227">
        <f t="shared" si="211"/>
        <v>22.694316312609871</v>
      </c>
      <c r="BO37" s="227">
        <f t="shared" si="212"/>
        <v>19.600000000000001</v>
      </c>
      <c r="BP37" s="227">
        <f t="shared" si="213"/>
        <v>30.720183634330681</v>
      </c>
      <c r="BQ37" s="227">
        <f t="shared" si="214"/>
        <v>31.86</v>
      </c>
      <c r="BR37" s="227">
        <f t="shared" si="100"/>
        <v>28.130005162892783</v>
      </c>
      <c r="BS37" s="227">
        <f t="shared" si="101"/>
        <v>7.818722390923301</v>
      </c>
      <c r="BT37" s="227">
        <f t="shared" si="215"/>
        <v>27.79495540668167</v>
      </c>
      <c r="BV37" s="231">
        <f t="shared" si="102"/>
        <v>0.26</v>
      </c>
      <c r="BW37" s="231">
        <f t="shared" si="103"/>
        <v>0.31485274680666397</v>
      </c>
      <c r="BX37" s="231">
        <f t="shared" si="104"/>
        <v>0.31850592935301436</v>
      </c>
      <c r="BY37" s="231">
        <f t="shared" si="105"/>
        <v>0.26</v>
      </c>
      <c r="BZ37" s="231">
        <f t="shared" si="106"/>
        <v>0.32956709334410134</v>
      </c>
      <c r="CA37" s="231">
        <f t="shared" si="107"/>
        <v>0.31810253069627564</v>
      </c>
      <c r="CB37" s="231">
        <f t="shared" si="108"/>
        <v>0.48</v>
      </c>
      <c r="CC37" s="231">
        <f t="shared" si="109"/>
        <v>0.47242877602749189</v>
      </c>
      <c r="CD37" s="231">
        <f t="shared" si="110"/>
        <v>0.34418213452844337</v>
      </c>
      <c r="CE37" s="231">
        <f t="shared" si="111"/>
        <v>8.5757284443424883E-2</v>
      </c>
      <c r="CF37" s="231">
        <f t="shared" si="216"/>
        <v>24.916250973025985</v>
      </c>
      <c r="CH37" s="232">
        <f t="shared" si="112"/>
        <v>1.4810950639923173</v>
      </c>
      <c r="CI37" s="232">
        <f t="shared" si="113"/>
        <v>1.52</v>
      </c>
      <c r="CJ37" s="232">
        <f t="shared" si="114"/>
        <v>2.1</v>
      </c>
      <c r="CK37" s="232">
        <f t="shared" si="115"/>
        <v>1.9379205982522629</v>
      </c>
      <c r="CL37" s="232">
        <f t="shared" si="116"/>
        <v>1.9129377112517003</v>
      </c>
      <c r="CM37" s="232">
        <f t="shared" si="117"/>
        <v>1.5054372982558231</v>
      </c>
      <c r="CN37" s="232">
        <f t="shared" si="118"/>
        <v>1.4839967178980469</v>
      </c>
      <c r="CO37" s="232">
        <f t="shared" si="119"/>
        <v>1.8413408127430098</v>
      </c>
      <c r="CP37" s="232">
        <f t="shared" si="120"/>
        <v>1.52</v>
      </c>
      <c r="CQ37" s="232">
        <f t="shared" si="121"/>
        <v>1.4959272590309414</v>
      </c>
      <c r="CR37" s="232">
        <f t="shared" si="122"/>
        <v>1.6798655461424101</v>
      </c>
      <c r="CS37" s="232">
        <f t="shared" si="123"/>
        <v>0.23961753329819582</v>
      </c>
      <c r="CT37" s="232">
        <f t="shared" si="217"/>
        <v>14.264089995085971</v>
      </c>
      <c r="CV37" s="229">
        <f t="shared" si="218"/>
        <v>0.83</v>
      </c>
      <c r="CW37" s="229">
        <f t="shared" si="219"/>
        <v>1.19</v>
      </c>
      <c r="CX37" s="229">
        <f t="shared" si="220"/>
        <v>0.7134392677364797</v>
      </c>
      <c r="CY37" s="229">
        <f t="shared" si="221"/>
        <v>0.53999842876869075</v>
      </c>
      <c r="CZ37" s="229">
        <f t="shared" si="222"/>
        <v>1.1787972996990945</v>
      </c>
      <c r="DA37" s="229">
        <f t="shared" si="223"/>
        <v>0.83</v>
      </c>
      <c r="DB37" s="229">
        <f t="shared" si="224"/>
        <v>0.53325391553422308</v>
      </c>
      <c r="DC37" s="229">
        <f t="shared" si="225"/>
        <v>0.89</v>
      </c>
      <c r="DD37" s="229">
        <f t="shared" si="226"/>
        <v>0.83818611396731091</v>
      </c>
      <c r="DE37" s="229">
        <f t="shared" si="227"/>
        <v>0.25073292873109349</v>
      </c>
      <c r="DF37" s="229">
        <f t="shared" si="228"/>
        <v>29.913753586816405</v>
      </c>
      <c r="DH37" s="234">
        <f t="shared" si="124"/>
        <v>4.8840000000000001E-2</v>
      </c>
      <c r="DI37" s="234">
        <f t="shared" si="125"/>
        <v>6.6000000000000003E-2</v>
      </c>
      <c r="DJ37" s="234">
        <f t="shared" si="126"/>
        <v>0.11450823314623546</v>
      </c>
      <c r="DK37" s="234">
        <f t="shared" si="229"/>
        <v>7.6449411048745156E-2</v>
      </c>
      <c r="DL37" s="234">
        <f t="shared" si="230"/>
        <v>3.4058359540446344E-2</v>
      </c>
      <c r="DM37" s="234">
        <f t="shared" si="231"/>
        <v>44.550192177059785</v>
      </c>
      <c r="DO37" s="229">
        <f t="shared" si="127"/>
        <v>2.38</v>
      </c>
      <c r="DP37" s="229">
        <f t="shared" si="128"/>
        <v>3.49</v>
      </c>
      <c r="DQ37" s="229">
        <f t="shared" si="129"/>
        <v>3.8086696297712828</v>
      </c>
      <c r="DR37" s="229">
        <f t="shared" si="130"/>
        <v>2.9829971555962667</v>
      </c>
      <c r="DS37" s="229">
        <f t="shared" si="131"/>
        <v>2.6245689980887561</v>
      </c>
      <c r="DT37" s="229">
        <f t="shared" si="132"/>
        <v>2.38</v>
      </c>
      <c r="DU37" s="229">
        <f t="shared" si="133"/>
        <v>1.4915999999999998</v>
      </c>
      <c r="DV37" s="229">
        <f t="shared" si="134"/>
        <v>3.3928129615879805</v>
      </c>
      <c r="DW37" s="229">
        <f t="shared" si="232"/>
        <v>2.818831093130536</v>
      </c>
      <c r="DX37" s="229">
        <f t="shared" si="233"/>
        <v>0.75319123963967094</v>
      </c>
      <c r="DY37" s="229">
        <f t="shared" si="234"/>
        <v>26.719984800621461</v>
      </c>
      <c r="EA37" s="235">
        <f t="shared" si="135"/>
        <v>0.14000000000000001</v>
      </c>
      <c r="EB37" s="235">
        <f t="shared" si="136"/>
        <v>0.21041590244170857</v>
      </c>
      <c r="EC37" s="235">
        <f t="shared" si="137"/>
        <v>0.14000000000000001</v>
      </c>
      <c r="ED37" s="235">
        <f t="shared" si="138"/>
        <v>0.16468135626792182</v>
      </c>
      <c r="EE37" s="235">
        <f t="shared" si="139"/>
        <v>0.14191534078129836</v>
      </c>
      <c r="EF37" s="235">
        <f t="shared" si="140"/>
        <v>0.15940251989818574</v>
      </c>
      <c r="EG37" s="235">
        <f t="shared" si="141"/>
        <v>3.0368356484239207E-2</v>
      </c>
      <c r="EH37" s="235">
        <f t="shared" si="235"/>
        <v>19.051365375927691</v>
      </c>
      <c r="EJ37" s="229">
        <f t="shared" si="142"/>
        <v>7.5426305676856105</v>
      </c>
      <c r="EK37" s="229">
        <f t="shared" si="143"/>
        <v>15.895735246562372</v>
      </c>
      <c r="EL37" s="229">
        <f t="shared" si="144"/>
        <v>6.91</v>
      </c>
      <c r="EM37" s="229">
        <f t="shared" si="145"/>
        <v>14.4</v>
      </c>
      <c r="EN37" s="229">
        <f t="shared" si="146"/>
        <v>18.690089146536526</v>
      </c>
      <c r="EO37" s="229">
        <f t="shared" si="236"/>
        <v>19.304395212995825</v>
      </c>
      <c r="EP37" s="229">
        <f t="shared" si="147"/>
        <v>19.616825583064987</v>
      </c>
      <c r="EQ37" s="229">
        <f t="shared" si="148"/>
        <v>14.622810822406475</v>
      </c>
      <c r="ER37" s="229">
        <f t="shared" si="149"/>
        <v>5.395778493037974</v>
      </c>
      <c r="ES37" s="229">
        <f t="shared" si="237"/>
        <v>36.899735342059166</v>
      </c>
      <c r="EU37" s="238">
        <f t="shared" si="191"/>
        <v>1.5683938692183031E-2</v>
      </c>
      <c r="EV37" s="238">
        <f t="shared" si="151"/>
        <v>1.5683938692183031E-2</v>
      </c>
      <c r="EW37" s="238" t="e">
        <f t="shared" si="152"/>
        <v>#DIV/0!</v>
      </c>
      <c r="EX37" s="238" t="e">
        <f t="shared" si="238"/>
        <v>#DIV/0!</v>
      </c>
      <c r="EZ37" s="240">
        <f t="shared" si="153"/>
        <v>2.6819535163568903E-2</v>
      </c>
      <c r="FA37" s="240">
        <f t="shared" si="154"/>
        <v>2.6819535163568903E-2</v>
      </c>
      <c r="FB37" s="240" t="e">
        <f t="shared" si="155"/>
        <v>#DIV/0!</v>
      </c>
      <c r="FC37" s="240" t="e">
        <f t="shared" si="239"/>
        <v>#DIV/0!</v>
      </c>
      <c r="FE37" s="236">
        <f t="shared" si="156"/>
        <v>0.9</v>
      </c>
      <c r="FF37" s="236">
        <f t="shared" si="157"/>
        <v>1.2</v>
      </c>
      <c r="FG37" s="236">
        <f t="shared" si="158"/>
        <v>1.3149539045171594</v>
      </c>
      <c r="FH37" s="236">
        <f t="shared" si="159"/>
        <v>1.2939249421051002</v>
      </c>
      <c r="FI37" s="236">
        <f t="shared" si="160"/>
        <v>0.9</v>
      </c>
      <c r="FJ37" s="236">
        <f t="shared" si="161"/>
        <v>1.0978757084528121</v>
      </c>
      <c r="FK37" s="236">
        <f t="shared" si="240"/>
        <v>1.1177924258458454</v>
      </c>
      <c r="FL37" s="236">
        <f t="shared" si="241"/>
        <v>0.18542769714761403</v>
      </c>
      <c r="FM37" s="236">
        <f t="shared" si="242"/>
        <v>16.588741599970934</v>
      </c>
      <c r="FO37" s="227">
        <f t="shared" si="162"/>
        <v>0.3</v>
      </c>
      <c r="FP37" s="227">
        <f t="shared" si="163"/>
        <v>0.32</v>
      </c>
      <c r="FQ37" s="227">
        <f t="shared" si="164"/>
        <v>0.3582422727559057</v>
      </c>
      <c r="FR37" s="227">
        <f t="shared" si="165"/>
        <v>0.3</v>
      </c>
      <c r="FS37" s="227">
        <f t="shared" si="166"/>
        <v>0.35288862057411818</v>
      </c>
      <c r="FT37" s="227">
        <f t="shared" si="243"/>
        <v>0.32622617866600478</v>
      </c>
      <c r="FU37" s="227">
        <f t="shared" si="244"/>
        <v>2.8063794669022993E-2</v>
      </c>
      <c r="FV37" s="227">
        <f t="shared" si="245"/>
        <v>8.6025575212206142</v>
      </c>
      <c r="FX37" s="230">
        <f t="shared" si="167"/>
        <v>2.94</v>
      </c>
      <c r="FY37" s="230">
        <f t="shared" si="168"/>
        <v>1.6468135626792184</v>
      </c>
      <c r="FZ37" s="230">
        <f t="shared" si="169"/>
        <v>2.94</v>
      </c>
      <c r="GA37" s="230">
        <f t="shared" si="170"/>
        <v>3.8505183994424628</v>
      </c>
      <c r="GB37" s="230">
        <f t="shared" si="246"/>
        <v>2.84433299053042</v>
      </c>
      <c r="GC37" s="230">
        <f t="shared" si="247"/>
        <v>0.90641532250035672</v>
      </c>
      <c r="GD37" s="230">
        <f t="shared" si="248"/>
        <v>31.867412343001572</v>
      </c>
      <c r="GF37" s="231">
        <f t="shared" si="171"/>
        <v>0.06</v>
      </c>
      <c r="GG37" s="231">
        <f t="shared" si="172"/>
        <v>0.05</v>
      </c>
      <c r="GH37" s="231">
        <f t="shared" si="173"/>
        <v>0.06</v>
      </c>
      <c r="GI37" s="231">
        <f t="shared" si="174"/>
        <v>6.2735754768732124E-2</v>
      </c>
      <c r="GJ37" s="245">
        <f t="shared" si="187"/>
        <v>5.8183938692183024E-2</v>
      </c>
      <c r="GK37" s="231">
        <f t="shared" si="188"/>
        <v>5.6063071464093296E-3</v>
      </c>
      <c r="GL37" s="231">
        <f t="shared" si="249"/>
        <v>9.6354892302307018</v>
      </c>
      <c r="GN37" s="246">
        <f t="shared" si="175"/>
        <v>0.18</v>
      </c>
      <c r="GO37" s="246">
        <f t="shared" si="176"/>
        <v>0.18</v>
      </c>
      <c r="GP37" s="246">
        <f t="shared" si="177"/>
        <v>0.16468135626792182</v>
      </c>
      <c r="GQ37" s="247">
        <f t="shared" si="189"/>
        <v>0.17489378542264059</v>
      </c>
      <c r="GR37" s="246">
        <f t="shared" si="190"/>
        <v>8.8442230823353035E-3</v>
      </c>
      <c r="GS37" s="246">
        <f t="shared" si="250"/>
        <v>5.0569110051353432</v>
      </c>
      <c r="GU37" s="249">
        <f t="shared" si="178"/>
        <v>2.1486996008290751E-2</v>
      </c>
      <c r="GV37" s="249">
        <f t="shared" si="179"/>
        <v>2.1486996008290751E-2</v>
      </c>
      <c r="GW37" s="249" t="e">
        <f t="shared" si="180"/>
        <v>#DIV/0!</v>
      </c>
      <c r="GX37" s="249" t="e">
        <f t="shared" si="251"/>
        <v>#DIV/0!</v>
      </c>
      <c r="GZ37" s="240">
        <f t="shared" si="181"/>
        <v>2.3525908038274548E-2</v>
      </c>
      <c r="HA37" s="240">
        <f t="shared" si="182"/>
        <v>2.3525908038274548E-2</v>
      </c>
      <c r="HB37" s="240" t="e">
        <f t="shared" si="183"/>
        <v>#DIV/0!</v>
      </c>
      <c r="HC37" s="240" t="e">
        <f t="shared" si="252"/>
        <v>#DIV/0!</v>
      </c>
      <c r="HE37" s="234">
        <f t="shared" si="184"/>
        <v>9.2889235218489019E-2</v>
      </c>
      <c r="HF37" s="251">
        <f t="shared" si="185"/>
        <v>9.2889235218489019E-2</v>
      </c>
      <c r="HG37" s="234" t="e">
        <f t="shared" si="186"/>
        <v>#DIV/0!</v>
      </c>
      <c r="HH37" s="234" t="e">
        <f t="shared" si="253"/>
        <v>#DIV/0!</v>
      </c>
    </row>
    <row r="38" spans="2:216" ht="15.6" x14ac:dyDescent="0.25">
      <c r="B38">
        <v>34</v>
      </c>
      <c r="C38" s="124">
        <f t="shared" si="52"/>
        <v>78.522788337099101</v>
      </c>
      <c r="D38" s="124">
        <f t="shared" si="53"/>
        <v>178.35353031687958</v>
      </c>
      <c r="E38" s="29">
        <f t="shared" si="201"/>
        <v>2.0060039408375143</v>
      </c>
      <c r="F38" s="29">
        <f t="shared" si="202"/>
        <v>1.967518123679123</v>
      </c>
      <c r="G38" s="29">
        <f t="shared" si="203"/>
        <v>1.9808276546482513</v>
      </c>
      <c r="H38" s="29">
        <f t="shared" si="204"/>
        <v>2.0060039408375143</v>
      </c>
      <c r="I38" s="29">
        <f t="shared" si="205"/>
        <v>1.9723657897058211</v>
      </c>
      <c r="J38" s="125">
        <f t="shared" si="206"/>
        <v>1.9865438899416445</v>
      </c>
      <c r="K38" s="126">
        <f t="shared" si="207"/>
        <v>1.8391987493486646E-2</v>
      </c>
      <c r="L38" s="126">
        <f t="shared" si="55"/>
        <v>0.92582839909099213</v>
      </c>
      <c r="N38" s="138">
        <f t="shared" si="56"/>
        <v>417.17421688774539</v>
      </c>
      <c r="O38" s="138">
        <f t="shared" si="57"/>
        <v>325.79239999999999</v>
      </c>
      <c r="P38" s="138">
        <f t="shared" si="58"/>
        <v>378.5839853237228</v>
      </c>
      <c r="Q38" s="138">
        <f t="shared" si="59"/>
        <v>418.10143282636903</v>
      </c>
      <c r="R38" s="138">
        <f t="shared" si="60"/>
        <v>417.17421688774539</v>
      </c>
      <c r="S38" s="138">
        <f t="shared" si="61"/>
        <v>394.1508</v>
      </c>
      <c r="T38" s="138">
        <f t="shared" si="62"/>
        <v>391.82950865426375</v>
      </c>
      <c r="U38" s="138">
        <f t="shared" si="63"/>
        <v>36.101674398321762</v>
      </c>
      <c r="V38" s="138">
        <f t="shared" si="64"/>
        <v>9.2136180662637575</v>
      </c>
      <c r="X38" s="227">
        <f t="shared" si="65"/>
        <v>0.44964309559999999</v>
      </c>
      <c r="Y38" s="227">
        <f t="shared" si="66"/>
        <v>0.47</v>
      </c>
      <c r="Z38" s="227">
        <f t="shared" si="67"/>
        <v>0.44964309559999999</v>
      </c>
      <c r="AA38" s="227">
        <f t="shared" si="68"/>
        <v>0.45642873039999993</v>
      </c>
      <c r="AB38" s="227">
        <f t="shared" si="69"/>
        <v>1.1753064235207469E-2</v>
      </c>
      <c r="AC38" s="227">
        <f t="shared" si="70"/>
        <v>2.5750053518557978</v>
      </c>
      <c r="AE38" s="228">
        <f t="shared" si="71"/>
        <v>4.4367218502768004</v>
      </c>
      <c r="AF38" s="228">
        <f t="shared" si="72"/>
        <v>5.2850000000000001</v>
      </c>
      <c r="AG38" s="228">
        <f t="shared" si="73"/>
        <v>4.4367218502768004</v>
      </c>
      <c r="AH38" s="228">
        <f t="shared" si="74"/>
        <v>7.0413363905762605</v>
      </c>
      <c r="AI38" s="228">
        <f t="shared" si="75"/>
        <v>5.2850000000000001</v>
      </c>
      <c r="AJ38" s="228">
        <f t="shared" si="76"/>
        <v>5.9755841857318632</v>
      </c>
      <c r="AK38" s="228">
        <f t="shared" si="77"/>
        <v>5.4765954278355435</v>
      </c>
      <c r="AL38" s="228">
        <f t="shared" si="78"/>
        <v>5.4195656720996093</v>
      </c>
      <c r="AM38" s="228">
        <f t="shared" si="79"/>
        <v>0.90468493965719043</v>
      </c>
      <c r="AN38" s="228">
        <f t="shared" si="80"/>
        <v>16.69294172989888</v>
      </c>
      <c r="AP38" s="229">
        <f t="shared" si="192"/>
        <v>1.4047404617651873</v>
      </c>
      <c r="AQ38" s="229">
        <f t="shared" si="193"/>
        <v>1.4</v>
      </c>
      <c r="AR38" s="229">
        <f t="shared" si="194"/>
        <v>1.47</v>
      </c>
      <c r="AS38" s="229">
        <f t="shared" si="195"/>
        <v>1.4454299434977409</v>
      </c>
      <c r="AT38" s="229">
        <f t="shared" si="196"/>
        <v>1.4047404617651873</v>
      </c>
      <c r="AU38" s="229">
        <f t="shared" si="197"/>
        <v>0.64422635308055232</v>
      </c>
      <c r="AV38" s="229">
        <f t="shared" si="198"/>
        <v>1.4</v>
      </c>
      <c r="AW38" s="229">
        <f t="shared" si="199"/>
        <v>1.4499996497749259</v>
      </c>
      <c r="AX38" s="229">
        <f t="shared" si="200"/>
        <v>1.4385473012729442</v>
      </c>
      <c r="AY38" s="229">
        <f t="shared" si="90"/>
        <v>1.3397426856840597</v>
      </c>
      <c r="AZ38" s="229">
        <f t="shared" si="91"/>
        <v>0.26208538521718816</v>
      </c>
      <c r="BA38" s="229">
        <f t="shared" si="92"/>
        <v>19.562367312598532</v>
      </c>
      <c r="BC38" s="230">
        <f t="shared" si="93"/>
        <v>9.65</v>
      </c>
      <c r="BD38" s="230">
        <f t="shared" si="94"/>
        <v>11.73</v>
      </c>
      <c r="BE38" s="230">
        <f t="shared" si="95"/>
        <v>9.65</v>
      </c>
      <c r="BF38" s="230">
        <f t="shared" si="96"/>
        <v>9.2001230669816216</v>
      </c>
      <c r="BG38" s="230">
        <f t="shared" si="97"/>
        <v>10.057530766745405</v>
      </c>
      <c r="BH38" s="230">
        <f t="shared" si="98"/>
        <v>1.1349690086056141</v>
      </c>
      <c r="BI38" s="230">
        <f t="shared" si="99"/>
        <v>11.284767950780902</v>
      </c>
      <c r="BK38" s="227">
        <f t="shared" si="208"/>
        <v>19.600000000000001</v>
      </c>
      <c r="BL38" s="227">
        <f t="shared" si="209"/>
        <v>31.73</v>
      </c>
      <c r="BM38" s="227">
        <f t="shared" si="210"/>
        <v>40.653456166194026</v>
      </c>
      <c r="BN38" s="227">
        <f t="shared" si="211"/>
        <v>22.704301753076535</v>
      </c>
      <c r="BO38" s="227">
        <f t="shared" si="212"/>
        <v>19.600000000000001</v>
      </c>
      <c r="BP38" s="227">
        <f t="shared" si="213"/>
        <v>30.707079961319405</v>
      </c>
      <c r="BQ38" s="227">
        <f t="shared" si="214"/>
        <v>31.86</v>
      </c>
      <c r="BR38" s="227">
        <f t="shared" si="100"/>
        <v>28.122119697227138</v>
      </c>
      <c r="BS38" s="227">
        <f t="shared" si="101"/>
        <v>7.8028922228244308</v>
      </c>
      <c r="BT38" s="227">
        <f t="shared" si="215"/>
        <v>27.746458328295226</v>
      </c>
      <c r="BV38" s="231">
        <f t="shared" si="102"/>
        <v>0.26</v>
      </c>
      <c r="BW38" s="231">
        <f t="shared" si="103"/>
        <v>0.31471748196818394</v>
      </c>
      <c r="BX38" s="231">
        <f t="shared" si="104"/>
        <v>0.31880615470129658</v>
      </c>
      <c r="BY38" s="231">
        <f t="shared" si="105"/>
        <v>0.26</v>
      </c>
      <c r="BZ38" s="231">
        <f t="shared" si="106"/>
        <v>0.32996027488426316</v>
      </c>
      <c r="CA38" s="231">
        <f t="shared" si="107"/>
        <v>0.31722146199313261</v>
      </c>
      <c r="CB38" s="231">
        <f t="shared" si="108"/>
        <v>0.48</v>
      </c>
      <c r="CC38" s="231">
        <f t="shared" si="109"/>
        <v>0.47006074178204649</v>
      </c>
      <c r="CD38" s="231">
        <f t="shared" si="110"/>
        <v>0.34384576441611536</v>
      </c>
      <c r="CE38" s="231">
        <f t="shared" si="111"/>
        <v>8.5277295581654755E-2</v>
      </c>
      <c r="CF38" s="231">
        <f t="shared" si="216"/>
        <v>24.801031278213991</v>
      </c>
      <c r="CH38" s="232">
        <f t="shared" si="112"/>
        <v>1.479211904762499</v>
      </c>
      <c r="CI38" s="232">
        <f t="shared" si="113"/>
        <v>1.52</v>
      </c>
      <c r="CJ38" s="232">
        <f t="shared" si="114"/>
        <v>2.1</v>
      </c>
      <c r="CK38" s="232">
        <f t="shared" si="115"/>
        <v>1.94028115281074</v>
      </c>
      <c r="CL38" s="232">
        <f t="shared" si="116"/>
        <v>1.9111927088901388</v>
      </c>
      <c r="CM38" s="232">
        <f t="shared" si="117"/>
        <v>1.5069807975680558</v>
      </c>
      <c r="CN38" s="232">
        <f t="shared" si="118"/>
        <v>1.4821098693194033</v>
      </c>
      <c r="CO38" s="232">
        <f t="shared" si="119"/>
        <v>1.8436588729621122</v>
      </c>
      <c r="CP38" s="232">
        <f t="shared" si="120"/>
        <v>1.52</v>
      </c>
      <c r="CQ38" s="232">
        <f t="shared" si="121"/>
        <v>1.4934041262840572</v>
      </c>
      <c r="CR38" s="232">
        <f t="shared" si="122"/>
        <v>1.6796839432597008</v>
      </c>
      <c r="CS38" s="232">
        <f t="shared" si="123"/>
        <v>0.24032607535063066</v>
      </c>
      <c r="CT38" s="232">
        <f t="shared" si="217"/>
        <v>14.307815247923289</v>
      </c>
      <c r="CV38" s="229">
        <f t="shared" si="218"/>
        <v>0.83</v>
      </c>
      <c r="CW38" s="229">
        <f t="shared" si="219"/>
        <v>1.19</v>
      </c>
      <c r="CX38" s="229">
        <f t="shared" si="220"/>
        <v>0.71595293913376656</v>
      </c>
      <c r="CY38" s="229">
        <f t="shared" si="221"/>
        <v>0.53757696390652232</v>
      </c>
      <c r="CZ38" s="229">
        <f t="shared" si="222"/>
        <v>1.179978675955448</v>
      </c>
      <c r="DA38" s="229">
        <f t="shared" si="223"/>
        <v>0.83</v>
      </c>
      <c r="DB38" s="229">
        <f t="shared" si="224"/>
        <v>0.53395496069227388</v>
      </c>
      <c r="DC38" s="229">
        <f t="shared" si="225"/>
        <v>0.89</v>
      </c>
      <c r="DD38" s="229">
        <f t="shared" si="226"/>
        <v>0.83843294246100131</v>
      </c>
      <c r="DE38" s="229">
        <f t="shared" si="227"/>
        <v>0.25107676313492849</v>
      </c>
      <c r="DF38" s="229">
        <f t="shared" si="228"/>
        <v>29.945956369266469</v>
      </c>
      <c r="DH38" s="234">
        <f t="shared" si="124"/>
        <v>5.0319999999999997E-2</v>
      </c>
      <c r="DI38" s="234">
        <f t="shared" si="125"/>
        <v>6.8000000000000005E-2</v>
      </c>
      <c r="DJ38" s="234">
        <f t="shared" si="126"/>
        <v>0.11418552126614177</v>
      </c>
      <c r="DK38" s="234">
        <f t="shared" si="229"/>
        <v>7.7501840422047261E-2</v>
      </c>
      <c r="DL38" s="234">
        <f t="shared" si="230"/>
        <v>3.2975975045531875E-2</v>
      </c>
      <c r="DM38" s="234">
        <f t="shared" si="231"/>
        <v>42.548634801388616</v>
      </c>
      <c r="DO38" s="229">
        <f t="shared" si="127"/>
        <v>2.38</v>
      </c>
      <c r="DP38" s="229">
        <f t="shared" si="128"/>
        <v>3.49</v>
      </c>
      <c r="DQ38" s="229">
        <f t="shared" si="129"/>
        <v>3.8045993093328443</v>
      </c>
      <c r="DR38" s="229">
        <f t="shared" si="130"/>
        <v>2.9798158349124666</v>
      </c>
      <c r="DS38" s="229">
        <f t="shared" si="131"/>
        <v>2.6272660518443969</v>
      </c>
      <c r="DT38" s="229">
        <f t="shared" si="132"/>
        <v>2.38</v>
      </c>
      <c r="DU38" s="229">
        <f t="shared" si="133"/>
        <v>1.5367999999999999</v>
      </c>
      <c r="DV38" s="229">
        <f t="shared" si="134"/>
        <v>3.38103243009702</v>
      </c>
      <c r="DW38" s="229">
        <f t="shared" si="232"/>
        <v>2.8224392032733405</v>
      </c>
      <c r="DX38" s="229">
        <f t="shared" si="233"/>
        <v>0.73964618044410257</v>
      </c>
      <c r="DY38" s="229">
        <f t="shared" si="234"/>
        <v>26.205920736442916</v>
      </c>
      <c r="EA38" s="235">
        <f t="shared" si="135"/>
        <v>0.14000000000000001</v>
      </c>
      <c r="EB38" s="235">
        <f t="shared" si="136"/>
        <v>0.21064743604629216</v>
      </c>
      <c r="EC38" s="235">
        <f t="shared" si="137"/>
        <v>0.14000000000000001</v>
      </c>
      <c r="ED38" s="235">
        <f t="shared" si="138"/>
        <v>0.16489785550790811</v>
      </c>
      <c r="EE38" s="235">
        <f t="shared" si="139"/>
        <v>0.14154739106412323</v>
      </c>
      <c r="EF38" s="235">
        <f t="shared" si="140"/>
        <v>0.15941853652366472</v>
      </c>
      <c r="EG38" s="235">
        <f t="shared" si="141"/>
        <v>3.0528511445484942E-2</v>
      </c>
      <c r="EH38" s="235">
        <f t="shared" si="235"/>
        <v>19.149913247982404</v>
      </c>
      <c r="EJ38" s="229">
        <f t="shared" si="142"/>
        <v>7.5426305676856105</v>
      </c>
      <c r="EK38" s="229">
        <f t="shared" si="143"/>
        <v>15.900160332830817</v>
      </c>
      <c r="EL38" s="229">
        <f t="shared" si="144"/>
        <v>6.91</v>
      </c>
      <c r="EM38" s="229">
        <f t="shared" si="145"/>
        <v>14.4</v>
      </c>
      <c r="EN38" s="229">
        <f t="shared" si="146"/>
        <v>18.895894521215496</v>
      </c>
      <c r="EO38" s="229">
        <f t="shared" si="236"/>
        <v>19.429530233456422</v>
      </c>
      <c r="EP38" s="229">
        <f t="shared" si="147"/>
        <v>19.687051704373761</v>
      </c>
      <c r="EQ38" s="229">
        <f t="shared" si="148"/>
        <v>14.680752479937443</v>
      </c>
      <c r="ER38" s="229">
        <f t="shared" si="149"/>
        <v>5.4510625953473681</v>
      </c>
      <c r="ES38" s="229">
        <f t="shared" si="237"/>
        <v>37.130675711594016</v>
      </c>
      <c r="EU38" s="238">
        <f t="shared" si="191"/>
        <v>1.5704557667419822E-2</v>
      </c>
      <c r="EV38" s="238">
        <f t="shared" si="151"/>
        <v>1.5704557667419822E-2</v>
      </c>
      <c r="EW38" s="238" t="e">
        <f t="shared" si="152"/>
        <v>#DIV/0!</v>
      </c>
      <c r="EX38" s="238" t="e">
        <f t="shared" si="238"/>
        <v>#DIV/0!</v>
      </c>
      <c r="EZ38" s="240">
        <f t="shared" si="153"/>
        <v>2.6854793611272382E-2</v>
      </c>
      <c r="FA38" s="240">
        <f t="shared" si="154"/>
        <v>2.6854793611272382E-2</v>
      </c>
      <c r="FB38" s="240" t="e">
        <f t="shared" si="155"/>
        <v>#DIV/0!</v>
      </c>
      <c r="FC38" s="240" t="e">
        <f t="shared" si="239"/>
        <v>#DIV/0!</v>
      </c>
      <c r="FE38" s="236">
        <f t="shared" si="156"/>
        <v>0.9</v>
      </c>
      <c r="FF38" s="236">
        <f t="shared" si="157"/>
        <v>1.2</v>
      </c>
      <c r="FG38" s="236">
        <f t="shared" si="158"/>
        <v>1.3156993263075134</v>
      </c>
      <c r="FH38" s="236">
        <f t="shared" si="159"/>
        <v>1.2956260075621353</v>
      </c>
      <c r="FI38" s="236">
        <f t="shared" si="160"/>
        <v>0.9</v>
      </c>
      <c r="FJ38" s="236">
        <f t="shared" si="161"/>
        <v>1.0993190367193875</v>
      </c>
      <c r="FK38" s="236">
        <f t="shared" si="240"/>
        <v>1.1184407284315061</v>
      </c>
      <c r="FL38" s="236">
        <f t="shared" si="241"/>
        <v>0.18587944217943847</v>
      </c>
      <c r="FM38" s="236">
        <f t="shared" si="242"/>
        <v>16.619516569296845</v>
      </c>
      <c r="FO38" s="227">
        <f t="shared" si="162"/>
        <v>0.3</v>
      </c>
      <c r="FP38" s="227">
        <f t="shared" si="163"/>
        <v>0.32</v>
      </c>
      <c r="FQ38" s="227">
        <f t="shared" si="164"/>
        <v>0.35733189280488997</v>
      </c>
      <c r="FR38" s="227">
        <f t="shared" si="165"/>
        <v>0.3</v>
      </c>
      <c r="FS38" s="227">
        <f t="shared" si="166"/>
        <v>0.35335254751694595</v>
      </c>
      <c r="FT38" s="227">
        <f t="shared" si="243"/>
        <v>0.32613688806436719</v>
      </c>
      <c r="FU38" s="227">
        <f t="shared" si="244"/>
        <v>2.7918433295463913E-2</v>
      </c>
      <c r="FV38" s="227">
        <f t="shared" si="245"/>
        <v>8.5603420886121473</v>
      </c>
      <c r="FX38" s="230">
        <f t="shared" si="167"/>
        <v>2.94</v>
      </c>
      <c r="FY38" s="230">
        <f t="shared" si="168"/>
        <v>1.6489785550790812</v>
      </c>
      <c r="FZ38" s="230">
        <f t="shared" si="169"/>
        <v>2.94</v>
      </c>
      <c r="GA38" s="230">
        <f t="shared" si="170"/>
        <v>3.8630566263431421</v>
      </c>
      <c r="GB38" s="230">
        <f t="shared" si="246"/>
        <v>2.8480087953555557</v>
      </c>
      <c r="GC38" s="230">
        <f t="shared" si="247"/>
        <v>0.91011361557297477</v>
      </c>
      <c r="GD38" s="230">
        <f t="shared" si="248"/>
        <v>31.956137813098039</v>
      </c>
      <c r="GF38" s="231">
        <f t="shared" si="171"/>
        <v>0.06</v>
      </c>
      <c r="GG38" s="231">
        <f t="shared" si="172"/>
        <v>0.05</v>
      </c>
      <c r="GH38" s="231">
        <f t="shared" si="173"/>
        <v>0.06</v>
      </c>
      <c r="GI38" s="231">
        <f t="shared" si="174"/>
        <v>6.2818230669679287E-2</v>
      </c>
      <c r="GJ38" s="245">
        <f t="shared" si="187"/>
        <v>5.8204557667419818E-2</v>
      </c>
      <c r="GK38" s="231">
        <f t="shared" si="188"/>
        <v>5.6287349505028533E-3</v>
      </c>
      <c r="GL38" s="231">
        <f t="shared" si="249"/>
        <v>9.6706085847527277</v>
      </c>
      <c r="GN38" s="246">
        <f t="shared" si="175"/>
        <v>0.18</v>
      </c>
      <c r="GO38" s="246">
        <f t="shared" si="176"/>
        <v>0.18</v>
      </c>
      <c r="GP38" s="246">
        <f t="shared" si="177"/>
        <v>0.16489785550790811</v>
      </c>
      <c r="GQ38" s="247">
        <f t="shared" si="189"/>
        <v>0.17496595183596939</v>
      </c>
      <c r="GR38" s="246">
        <f t="shared" si="190"/>
        <v>8.7192271878498706E-3</v>
      </c>
      <c r="GS38" s="246">
        <f t="shared" si="250"/>
        <v>4.9833851079918379</v>
      </c>
      <c r="GU38" s="249">
        <f t="shared" si="178"/>
        <v>2.1515244004365153E-2</v>
      </c>
      <c r="GV38" s="249">
        <f t="shared" si="179"/>
        <v>2.1515244004365153E-2</v>
      </c>
      <c r="GW38" s="249" t="e">
        <f t="shared" si="180"/>
        <v>#DIV/0!</v>
      </c>
      <c r="GX38" s="249" t="e">
        <f t="shared" si="251"/>
        <v>#DIV/0!</v>
      </c>
      <c r="GZ38" s="240">
        <f t="shared" si="181"/>
        <v>2.3556836501129733E-2</v>
      </c>
      <c r="HA38" s="240">
        <f t="shared" si="182"/>
        <v>2.3556836501129733E-2</v>
      </c>
      <c r="HB38" s="240" t="e">
        <f t="shared" si="183"/>
        <v>#DIV/0!</v>
      </c>
      <c r="HC38" s="240" t="e">
        <f t="shared" si="252"/>
        <v>#DIV/0!</v>
      </c>
      <c r="HE38" s="234">
        <f t="shared" si="184"/>
        <v>9.301191812114791E-2</v>
      </c>
      <c r="HF38" s="251">
        <f t="shared" si="185"/>
        <v>9.301191812114791E-2</v>
      </c>
      <c r="HG38" s="234" t="e">
        <f t="shared" si="186"/>
        <v>#DIV/0!</v>
      </c>
      <c r="HH38" s="234" t="e">
        <f t="shared" si="253"/>
        <v>#DIV/0!</v>
      </c>
    </row>
    <row r="39" spans="2:216" ht="15.6" x14ac:dyDescent="0.25">
      <c r="B39">
        <v>35</v>
      </c>
      <c r="C39" s="124">
        <f t="shared" si="52"/>
        <v>78.652619135271607</v>
      </c>
      <c r="D39" s="124">
        <f t="shared" si="53"/>
        <v>177.73650959596796</v>
      </c>
      <c r="E39" s="29">
        <f t="shared" si="201"/>
        <v>2.004807798823971</v>
      </c>
      <c r="F39" s="29">
        <f t="shared" si="202"/>
        <v>1.963959367092301</v>
      </c>
      <c r="G39" s="29">
        <f t="shared" si="203"/>
        <v>1.9796164515566299</v>
      </c>
      <c r="H39" s="29">
        <f t="shared" si="204"/>
        <v>2.004807798823971</v>
      </c>
      <c r="I39" s="29">
        <f t="shared" si="205"/>
        <v>1.9705781720435513</v>
      </c>
      <c r="J39" s="125">
        <f t="shared" si="206"/>
        <v>1.9847539176680846</v>
      </c>
      <c r="K39" s="126">
        <f t="shared" si="207"/>
        <v>1.9131616205482156E-2</v>
      </c>
      <c r="L39" s="126">
        <f t="shared" si="55"/>
        <v>0.96392887980592379</v>
      </c>
      <c r="N39" s="138">
        <f t="shared" si="56"/>
        <v>416.79832271029784</v>
      </c>
      <c r="O39" s="138">
        <f t="shared" si="57"/>
        <v>325.79239999999999</v>
      </c>
      <c r="P39" s="138">
        <f t="shared" si="58"/>
        <v>376.60022383739346</v>
      </c>
      <c r="Q39" s="138">
        <f t="shared" si="59"/>
        <v>418.62733559719305</v>
      </c>
      <c r="R39" s="138">
        <f t="shared" si="60"/>
        <v>416.79832271029784</v>
      </c>
      <c r="S39" s="138">
        <f t="shared" si="61"/>
        <v>394.08750000000003</v>
      </c>
      <c r="T39" s="138">
        <f t="shared" si="62"/>
        <v>391.45068414253041</v>
      </c>
      <c r="U39" s="138">
        <f t="shared" si="63"/>
        <v>36.227269264725081</v>
      </c>
      <c r="V39" s="138">
        <f t="shared" si="64"/>
        <v>9.2546189679245607</v>
      </c>
      <c r="X39" s="227">
        <f t="shared" si="65"/>
        <v>0.44993138125000004</v>
      </c>
      <c r="Y39" s="227">
        <f t="shared" si="66"/>
        <v>0.47</v>
      </c>
      <c r="Z39" s="227">
        <f t="shared" si="67"/>
        <v>0.44993138125000004</v>
      </c>
      <c r="AA39" s="227">
        <f t="shared" si="68"/>
        <v>0.45662092083333339</v>
      </c>
      <c r="AB39" s="227">
        <f t="shared" si="69"/>
        <v>1.1586622437576433E-2</v>
      </c>
      <c r="AC39" s="227">
        <f t="shared" si="70"/>
        <v>2.5374707791379425</v>
      </c>
      <c r="AE39" s="228">
        <f t="shared" si="71"/>
        <v>4.4318922807221659</v>
      </c>
      <c r="AF39" s="228">
        <f t="shared" si="72"/>
        <v>5.2850000000000001</v>
      </c>
      <c r="AG39" s="228">
        <f t="shared" si="73"/>
        <v>4.4318922807221659</v>
      </c>
      <c r="AH39" s="228">
        <f t="shared" si="74"/>
        <v>7.0529750725725293</v>
      </c>
      <c r="AI39" s="228">
        <f t="shared" si="75"/>
        <v>5.2850000000000001</v>
      </c>
      <c r="AJ39" s="228">
        <f t="shared" si="76"/>
        <v>5.9854643124696221</v>
      </c>
      <c r="AK39" s="228">
        <f t="shared" si="77"/>
        <v>5.4709722130516232</v>
      </c>
      <c r="AL39" s="228">
        <f t="shared" si="78"/>
        <v>5.42045659421973</v>
      </c>
      <c r="AM39" s="228">
        <f t="shared" si="79"/>
        <v>0.9108711867646524</v>
      </c>
      <c r="AN39" s="228">
        <f t="shared" si="80"/>
        <v>16.804325815208774</v>
      </c>
      <c r="AP39" s="229">
        <f t="shared" si="192"/>
        <v>1.4058519108280254</v>
      </c>
      <c r="AQ39" s="229">
        <f t="shared" si="193"/>
        <v>1.4</v>
      </c>
      <c r="AR39" s="229">
        <f t="shared" si="194"/>
        <v>1.47</v>
      </c>
      <c r="AS39" s="229">
        <f t="shared" si="195"/>
        <v>1.4380924567259403</v>
      </c>
      <c r="AT39" s="229">
        <f t="shared" si="196"/>
        <v>1.4058519108280254</v>
      </c>
      <c r="AU39" s="229">
        <f t="shared" si="197"/>
        <v>0.66235760249611675</v>
      </c>
      <c r="AV39" s="229">
        <f t="shared" si="198"/>
        <v>1.4</v>
      </c>
      <c r="AW39" s="229">
        <f t="shared" si="199"/>
        <v>1.4499997744422966</v>
      </c>
      <c r="AX39" s="229">
        <f t="shared" si="200"/>
        <v>1.4362620796708563</v>
      </c>
      <c r="AY39" s="229">
        <f t="shared" si="90"/>
        <v>1.3409350816656955</v>
      </c>
      <c r="AZ39" s="229">
        <f t="shared" si="91"/>
        <v>0.25567380737992318</v>
      </c>
      <c r="BA39" s="229">
        <f t="shared" si="92"/>
        <v>19.066829623275115</v>
      </c>
      <c r="BC39" s="230">
        <f t="shared" si="93"/>
        <v>9.65</v>
      </c>
      <c r="BD39" s="230">
        <f t="shared" si="94"/>
        <v>11.73</v>
      </c>
      <c r="BE39" s="230">
        <f t="shared" si="95"/>
        <v>9.65</v>
      </c>
      <c r="BF39" s="230">
        <f t="shared" si="96"/>
        <v>9.2001230732658197</v>
      </c>
      <c r="BG39" s="230">
        <f t="shared" si="97"/>
        <v>10.057530768316456</v>
      </c>
      <c r="BH39" s="230">
        <f t="shared" si="98"/>
        <v>1.1349690070231568</v>
      </c>
      <c r="BI39" s="230">
        <f t="shared" si="99"/>
        <v>11.284767933284096</v>
      </c>
      <c r="BK39" s="227">
        <f t="shared" si="208"/>
        <v>19.600000000000001</v>
      </c>
      <c r="BL39" s="227">
        <f t="shared" si="209"/>
        <v>31.73</v>
      </c>
      <c r="BM39" s="227">
        <f t="shared" si="210"/>
        <v>40.608473508617301</v>
      </c>
      <c r="BN39" s="227">
        <f t="shared" si="211"/>
        <v>22.716828953233488</v>
      </c>
      <c r="BO39" s="227">
        <f t="shared" si="212"/>
        <v>19.600000000000001</v>
      </c>
      <c r="BP39" s="227">
        <f t="shared" si="213"/>
        <v>30.693800932004994</v>
      </c>
      <c r="BQ39" s="227">
        <f t="shared" si="214"/>
        <v>31.86</v>
      </c>
      <c r="BR39" s="227">
        <f t="shared" si="100"/>
        <v>28.115586199122252</v>
      </c>
      <c r="BS39" s="227">
        <f t="shared" si="101"/>
        <v>7.7886781377648369</v>
      </c>
      <c r="BT39" s="227">
        <f t="shared" si="215"/>
        <v>27.702350157678712</v>
      </c>
      <c r="BV39" s="231">
        <f t="shared" si="102"/>
        <v>0.26</v>
      </c>
      <c r="BW39" s="231">
        <f t="shared" si="103"/>
        <v>0.31467581959258589</v>
      </c>
      <c r="BX39" s="231">
        <f t="shared" si="104"/>
        <v>0.3191845878221114</v>
      </c>
      <c r="BY39" s="231">
        <f t="shared" si="105"/>
        <v>0.26</v>
      </c>
      <c r="BZ39" s="231">
        <f t="shared" si="106"/>
        <v>0.33047354915800498</v>
      </c>
      <c r="CA39" s="231">
        <f t="shared" si="107"/>
        <v>0.31639123811545644</v>
      </c>
      <c r="CB39" s="231">
        <f t="shared" si="108"/>
        <v>0.48</v>
      </c>
      <c r="CC39" s="231">
        <f t="shared" si="109"/>
        <v>0.46768542884388997</v>
      </c>
      <c r="CD39" s="231">
        <f t="shared" si="110"/>
        <v>0.34355132794150611</v>
      </c>
      <c r="CE39" s="231">
        <f t="shared" si="111"/>
        <v>8.4789989047453981E-2</v>
      </c>
      <c r="CF39" s="231">
        <f t="shared" si="216"/>
        <v>24.680442819272272</v>
      </c>
      <c r="CH39" s="232">
        <f t="shared" si="112"/>
        <v>1.4776225635062534</v>
      </c>
      <c r="CI39" s="232">
        <f t="shared" si="113"/>
        <v>1.52</v>
      </c>
      <c r="CJ39" s="232">
        <f t="shared" si="114"/>
        <v>2.1</v>
      </c>
      <c r="CK39" s="232">
        <f t="shared" si="115"/>
        <v>1.9433385083172319</v>
      </c>
      <c r="CL39" s="232">
        <f t="shared" si="116"/>
        <v>1.910155114962065</v>
      </c>
      <c r="CM39" s="232">
        <f t="shared" si="117"/>
        <v>1.5089239433915889</v>
      </c>
      <c r="CN39" s="232">
        <f t="shared" si="118"/>
        <v>1.4805174143411721</v>
      </c>
      <c r="CO39" s="232">
        <f t="shared" si="119"/>
        <v>1.846576702090609</v>
      </c>
      <c r="CP39" s="232">
        <f t="shared" si="120"/>
        <v>1.52</v>
      </c>
      <c r="CQ39" s="232">
        <f t="shared" si="121"/>
        <v>1.4911145087267204</v>
      </c>
      <c r="CR39" s="232">
        <f t="shared" si="122"/>
        <v>1.6798248755335639</v>
      </c>
      <c r="CS39" s="232">
        <f t="shared" si="123"/>
        <v>0.24114557904595757</v>
      </c>
      <c r="CT39" s="232">
        <f t="shared" si="217"/>
        <v>14.355399932350826</v>
      </c>
      <c r="CV39" s="229">
        <f t="shared" si="218"/>
        <v>0.83</v>
      </c>
      <c r="CW39" s="229">
        <f t="shared" si="219"/>
        <v>1.19</v>
      </c>
      <c r="CX39" s="229">
        <f t="shared" si="220"/>
        <v>0.71878747557731482</v>
      </c>
      <c r="CY39" s="229">
        <f t="shared" si="221"/>
        <v>0.53514533342234993</v>
      </c>
      <c r="CZ39" s="229">
        <f t="shared" si="222"/>
        <v>1.1814650463099188</v>
      </c>
      <c r="DA39" s="229">
        <f t="shared" si="223"/>
        <v>0.83</v>
      </c>
      <c r="DB39" s="229">
        <f t="shared" si="224"/>
        <v>0.53483781011984688</v>
      </c>
      <c r="DC39" s="229">
        <f t="shared" si="225"/>
        <v>0.89</v>
      </c>
      <c r="DD39" s="229">
        <f t="shared" si="226"/>
        <v>0.83877945817867883</v>
      </c>
      <c r="DE39" s="229">
        <f t="shared" si="227"/>
        <v>0.25143566800512235</v>
      </c>
      <c r="DF39" s="229">
        <f t="shared" si="228"/>
        <v>29.976374069900135</v>
      </c>
      <c r="DH39" s="234">
        <f t="shared" si="124"/>
        <v>5.1799999999999999E-2</v>
      </c>
      <c r="DI39" s="234">
        <f t="shared" si="125"/>
        <v>7.0000000000000007E-2</v>
      </c>
      <c r="DJ39" s="234">
        <f t="shared" si="126"/>
        <v>0.11388253201976245</v>
      </c>
      <c r="DK39" s="234">
        <f t="shared" si="229"/>
        <v>7.8560844006587485E-2</v>
      </c>
      <c r="DL39" s="234">
        <f t="shared" si="230"/>
        <v>3.1914357788854993E-2</v>
      </c>
      <c r="DM39" s="234">
        <f t="shared" si="231"/>
        <v>40.623746081672579</v>
      </c>
      <c r="DO39" s="229">
        <f t="shared" si="127"/>
        <v>2.38</v>
      </c>
      <c r="DP39" s="229">
        <f t="shared" si="128"/>
        <v>3.49</v>
      </c>
      <c r="DQ39" s="229">
        <f t="shared" si="129"/>
        <v>3.8011640637884248</v>
      </c>
      <c r="DR39" s="229">
        <f t="shared" si="130"/>
        <v>2.9771308765021267</v>
      </c>
      <c r="DS39" s="229">
        <f t="shared" si="131"/>
        <v>2.6306658773449874</v>
      </c>
      <c r="DT39" s="229">
        <f t="shared" si="132"/>
        <v>2.38</v>
      </c>
      <c r="DU39" s="229">
        <f t="shared" si="133"/>
        <v>1.5819999999999999</v>
      </c>
      <c r="DV39" s="229">
        <f t="shared" si="134"/>
        <v>3.371121778781121</v>
      </c>
      <c r="DW39" s="229">
        <f t="shared" si="232"/>
        <v>2.8265103245520824</v>
      </c>
      <c r="DX39" s="229">
        <f t="shared" si="233"/>
        <v>0.72657322734506491</v>
      </c>
      <c r="DY39" s="229">
        <f t="shared" si="234"/>
        <v>25.705663306225674</v>
      </c>
      <c r="EA39" s="235">
        <f t="shared" si="135"/>
        <v>0.14000000000000001</v>
      </c>
      <c r="EB39" s="235">
        <f t="shared" si="136"/>
        <v>0.21093884555465925</v>
      </c>
      <c r="EC39" s="235">
        <f t="shared" si="137"/>
        <v>0.14000000000000001</v>
      </c>
      <c r="ED39" s="235">
        <f t="shared" si="138"/>
        <v>0.16517050018407037</v>
      </c>
      <c r="EE39" s="235">
        <f t="shared" si="139"/>
        <v>0.14120192870469594</v>
      </c>
      <c r="EF39" s="235">
        <f t="shared" si="140"/>
        <v>0.15946225488868512</v>
      </c>
      <c r="EG39" s="235">
        <f t="shared" si="141"/>
        <v>3.0714091611158192E-2</v>
      </c>
      <c r="EH39" s="235">
        <f t="shared" si="235"/>
        <v>19.261041826229409</v>
      </c>
      <c r="EJ39" s="229">
        <f t="shared" si="142"/>
        <v>7.5426305676856105</v>
      </c>
      <c r="EK39" s="229">
        <f t="shared" si="143"/>
        <v>15.915874207011468</v>
      </c>
      <c r="EL39" s="229">
        <f t="shared" si="144"/>
        <v>6.91</v>
      </c>
      <c r="EM39" s="229">
        <f t="shared" si="145"/>
        <v>14.4</v>
      </c>
      <c r="EN39" s="229">
        <f t="shared" si="146"/>
        <v>19.099821051225991</v>
      </c>
      <c r="EO39" s="229">
        <f t="shared" si="236"/>
        <v>19.570493290276225</v>
      </c>
      <c r="EP39" s="229">
        <f t="shared" si="147"/>
        <v>19.775652742751916</v>
      </c>
      <c r="EQ39" s="229">
        <f t="shared" si="148"/>
        <v>14.744924551278743</v>
      </c>
      <c r="ER39" s="229">
        <f t="shared" si="149"/>
        <v>5.5122385154791953</v>
      </c>
      <c r="ES39" s="229">
        <f t="shared" si="237"/>
        <v>37.383972337797758</v>
      </c>
      <c r="EU39" s="238">
        <f t="shared" si="191"/>
        <v>1.5730523827054321E-2</v>
      </c>
      <c r="EV39" s="238">
        <f t="shared" si="151"/>
        <v>1.5730523827054321E-2</v>
      </c>
      <c r="EW39" s="238" t="e">
        <f t="shared" si="152"/>
        <v>#DIV/0!</v>
      </c>
      <c r="EX39" s="238" t="e">
        <f t="shared" si="238"/>
        <v>#DIV/0!</v>
      </c>
      <c r="EZ39" s="240">
        <f t="shared" si="153"/>
        <v>2.6899195744259134E-2</v>
      </c>
      <c r="FA39" s="240">
        <f t="shared" si="154"/>
        <v>2.6899195744259134E-2</v>
      </c>
      <c r="FB39" s="240" t="e">
        <f t="shared" si="155"/>
        <v>#DIV/0!</v>
      </c>
      <c r="FC39" s="240" t="e">
        <f t="shared" si="239"/>
        <v>#DIV/0!</v>
      </c>
      <c r="FE39" s="236">
        <f t="shared" si="156"/>
        <v>0.9</v>
      </c>
      <c r="FF39" s="236">
        <f t="shared" si="157"/>
        <v>1.2</v>
      </c>
      <c r="FG39" s="236">
        <f t="shared" si="158"/>
        <v>1.3168535573212743</v>
      </c>
      <c r="FH39" s="236">
        <f t="shared" si="159"/>
        <v>1.2977682157319816</v>
      </c>
      <c r="FI39" s="236">
        <f t="shared" si="160"/>
        <v>0.9</v>
      </c>
      <c r="FJ39" s="236">
        <f t="shared" si="161"/>
        <v>1.1011366678938026</v>
      </c>
      <c r="FK39" s="236">
        <f t="shared" si="240"/>
        <v>1.1192930734911766</v>
      </c>
      <c r="FL39" s="236">
        <f t="shared" si="241"/>
        <v>0.18649701787545364</v>
      </c>
      <c r="FM39" s="236">
        <f t="shared" si="242"/>
        <v>16.662036270246229</v>
      </c>
      <c r="FO39" s="227">
        <f t="shared" si="162"/>
        <v>0.3</v>
      </c>
      <c r="FP39" s="227">
        <f t="shared" si="163"/>
        <v>0.32</v>
      </c>
      <c r="FQ39" s="227">
        <f t="shared" si="164"/>
        <v>0.35648809597209097</v>
      </c>
      <c r="FR39" s="227">
        <f t="shared" si="165"/>
        <v>0.3</v>
      </c>
      <c r="FS39" s="227">
        <f t="shared" si="166"/>
        <v>0.3539367861087222</v>
      </c>
      <c r="FT39" s="227">
        <f t="shared" si="243"/>
        <v>0.32608497641616263</v>
      </c>
      <c r="FU39" s="227">
        <f t="shared" si="244"/>
        <v>2.7829624095248775E-2</v>
      </c>
      <c r="FV39" s="227">
        <f t="shared" si="245"/>
        <v>8.5344698799405894</v>
      </c>
      <c r="FX39" s="230">
        <f t="shared" si="167"/>
        <v>2.94</v>
      </c>
      <c r="FY39" s="230">
        <f t="shared" si="168"/>
        <v>1.6517050018407038</v>
      </c>
      <c r="FZ39" s="230">
        <f t="shared" si="169"/>
        <v>2.94</v>
      </c>
      <c r="GA39" s="230">
        <f t="shared" si="170"/>
        <v>3.8761388994963406</v>
      </c>
      <c r="GB39" s="230">
        <f t="shared" si="246"/>
        <v>2.8519609753342614</v>
      </c>
      <c r="GC39" s="230">
        <f t="shared" si="247"/>
        <v>0.91379366051206012</v>
      </c>
      <c r="GD39" s="230">
        <f t="shared" si="248"/>
        <v>32.04088935350736</v>
      </c>
      <c r="GF39" s="231">
        <f t="shared" si="171"/>
        <v>0.06</v>
      </c>
      <c r="GG39" s="231">
        <f t="shared" si="172"/>
        <v>0.05</v>
      </c>
      <c r="GH39" s="231">
        <f t="shared" si="173"/>
        <v>0.06</v>
      </c>
      <c r="GI39" s="231">
        <f t="shared" si="174"/>
        <v>6.2922095308217282E-2</v>
      </c>
      <c r="GJ39" s="245">
        <f t="shared" si="187"/>
        <v>5.823052382705432E-2</v>
      </c>
      <c r="GK39" s="231">
        <f t="shared" si="188"/>
        <v>5.6572801852661633E-3</v>
      </c>
      <c r="GL39" s="231">
        <f t="shared" si="249"/>
        <v>9.7153173515463909</v>
      </c>
      <c r="GN39" s="246">
        <f t="shared" si="175"/>
        <v>0.18</v>
      </c>
      <c r="GO39" s="246">
        <f t="shared" si="176"/>
        <v>0.18</v>
      </c>
      <c r="GP39" s="246">
        <f t="shared" si="177"/>
        <v>0.16517050018407037</v>
      </c>
      <c r="GQ39" s="247">
        <f t="shared" si="189"/>
        <v>0.17505683339469011</v>
      </c>
      <c r="GR39" s="246">
        <f t="shared" si="190"/>
        <v>8.5618157106744745E-3</v>
      </c>
      <c r="GS39" s="246">
        <f t="shared" si="250"/>
        <v>4.8908777478972576</v>
      </c>
      <c r="GU39" s="249">
        <f t="shared" si="178"/>
        <v>2.1550817643064421E-2</v>
      </c>
      <c r="GV39" s="249">
        <f t="shared" si="179"/>
        <v>2.1550817643064421E-2</v>
      </c>
      <c r="GW39" s="249" t="e">
        <f t="shared" si="180"/>
        <v>#DIV/0!</v>
      </c>
      <c r="GX39" s="249" t="e">
        <f t="shared" si="251"/>
        <v>#DIV/0!</v>
      </c>
      <c r="GZ39" s="240">
        <f t="shared" si="181"/>
        <v>2.3595785740581483E-2</v>
      </c>
      <c r="HA39" s="240">
        <f t="shared" si="182"/>
        <v>2.3595785740581483E-2</v>
      </c>
      <c r="HB39" s="240" t="e">
        <f t="shared" si="183"/>
        <v>#DIV/0!</v>
      </c>
      <c r="HC39" s="240" t="e">
        <f t="shared" si="252"/>
        <v>#DIV/0!</v>
      </c>
      <c r="HE39" s="234">
        <f t="shared" si="184"/>
        <v>9.316641677097319E-2</v>
      </c>
      <c r="HF39" s="251">
        <f t="shared" si="185"/>
        <v>9.316641677097319E-2</v>
      </c>
      <c r="HG39" s="234" t="e">
        <f t="shared" si="186"/>
        <v>#DIV/0!</v>
      </c>
      <c r="HH39" s="234" t="e">
        <f t="shared" si="253"/>
        <v>#DIV/0!</v>
      </c>
    </row>
    <row r="40" spans="2:216" ht="15.6" x14ac:dyDescent="0.25">
      <c r="B40">
        <v>36</v>
      </c>
      <c r="C40" s="124">
        <f t="shared" si="52"/>
        <v>78.803834587256745</v>
      </c>
      <c r="D40" s="124">
        <f t="shared" si="53"/>
        <v>177.13477325976521</v>
      </c>
      <c r="E40" s="29">
        <f t="shared" si="201"/>
        <v>2.0039548020107767</v>
      </c>
      <c r="F40" s="29">
        <f t="shared" si="202"/>
        <v>1.9607364452935268</v>
      </c>
      <c r="G40" s="29">
        <f t="shared" si="203"/>
        <v>1.9787417486586354</v>
      </c>
      <c r="H40" s="29">
        <f t="shared" si="204"/>
        <v>2.0039548020107767</v>
      </c>
      <c r="I40" s="29">
        <f t="shared" si="205"/>
        <v>1.9691297691291172</v>
      </c>
      <c r="J40" s="125">
        <f t="shared" si="206"/>
        <v>1.9833035134205663</v>
      </c>
      <c r="K40" s="126">
        <f t="shared" si="207"/>
        <v>1.989930105371375E-2</v>
      </c>
      <c r="L40" s="126">
        <f t="shared" si="55"/>
        <v>1.0033411890343398</v>
      </c>
      <c r="N40" s="138">
        <f t="shared" si="56"/>
        <v>416.493737818319</v>
      </c>
      <c r="O40" s="138">
        <f t="shared" si="57"/>
        <v>325.79239999999999</v>
      </c>
      <c r="P40" s="138">
        <f t="shared" si="58"/>
        <v>374.68936275722399</v>
      </c>
      <c r="Q40" s="138">
        <f t="shared" si="59"/>
        <v>419.23959913727481</v>
      </c>
      <c r="R40" s="138">
        <f t="shared" si="60"/>
        <v>416.493737818319</v>
      </c>
      <c r="S40" s="138">
        <f t="shared" si="61"/>
        <v>393.91679999999997</v>
      </c>
      <c r="T40" s="138">
        <f t="shared" si="62"/>
        <v>391.10427292185614</v>
      </c>
      <c r="U40" s="138">
        <f t="shared" si="63"/>
        <v>36.397381129813141</v>
      </c>
      <c r="V40" s="138">
        <f t="shared" si="64"/>
        <v>9.3063112959355099</v>
      </c>
      <c r="X40" s="227">
        <f t="shared" si="65"/>
        <v>0.45011185440000001</v>
      </c>
      <c r="Y40" s="227">
        <f t="shared" si="66"/>
        <v>0.47</v>
      </c>
      <c r="Z40" s="227">
        <f t="shared" si="67"/>
        <v>0.45011185440000001</v>
      </c>
      <c r="AA40" s="227">
        <f t="shared" si="68"/>
        <v>0.45674123626666668</v>
      </c>
      <c r="AB40" s="227">
        <f t="shared" si="69"/>
        <v>1.148242621584245E-2</v>
      </c>
      <c r="AC40" s="227">
        <f t="shared" si="70"/>
        <v>2.5139893891994629</v>
      </c>
      <c r="AE40" s="228">
        <f t="shared" si="71"/>
        <v>4.4279795732776606</v>
      </c>
      <c r="AF40" s="228">
        <f t="shared" si="72"/>
        <v>5.2850000000000001</v>
      </c>
      <c r="AG40" s="228">
        <f t="shared" si="73"/>
        <v>4.4279795732776606</v>
      </c>
      <c r="AH40" s="228">
        <f t="shared" si="74"/>
        <v>7.0665307670074018</v>
      </c>
      <c r="AI40" s="228">
        <f t="shared" si="75"/>
        <v>5.2850000000000001</v>
      </c>
      <c r="AJ40" s="228">
        <f t="shared" si="76"/>
        <v>5.9969718100257836</v>
      </c>
      <c r="AK40" s="228">
        <f t="shared" si="77"/>
        <v>5.466415754424987</v>
      </c>
      <c r="AL40" s="228">
        <f t="shared" si="78"/>
        <v>5.4222682111447842</v>
      </c>
      <c r="AM40" s="228">
        <f t="shared" si="79"/>
        <v>0.91749091722311282</v>
      </c>
      <c r="AN40" s="228">
        <f t="shared" si="80"/>
        <v>16.920795532344318</v>
      </c>
      <c r="AP40" s="229">
        <f t="shared" si="192"/>
        <v>1.4069037656903765</v>
      </c>
      <c r="AQ40" s="229">
        <f t="shared" si="193"/>
        <v>1.4</v>
      </c>
      <c r="AR40" s="229">
        <f t="shared" si="194"/>
        <v>1.47</v>
      </c>
      <c r="AS40" s="229">
        <f t="shared" si="195"/>
        <v>1.4308167997000563</v>
      </c>
      <c r="AT40" s="229">
        <f t="shared" si="196"/>
        <v>1.4069037656903765</v>
      </c>
      <c r="AU40" s="229">
        <f t="shared" si="197"/>
        <v>0.68031068553866003</v>
      </c>
      <c r="AV40" s="229">
        <f t="shared" si="198"/>
        <v>1.4</v>
      </c>
      <c r="AW40" s="229">
        <f t="shared" si="199"/>
        <v>1.449999854732624</v>
      </c>
      <c r="AX40" s="229">
        <f t="shared" si="200"/>
        <v>1.4339804882850051</v>
      </c>
      <c r="AY40" s="229">
        <f t="shared" si="90"/>
        <v>1.3421017066263443</v>
      </c>
      <c r="AZ40" s="229">
        <f t="shared" si="91"/>
        <v>0.24934475534190934</v>
      </c>
      <c r="BA40" s="229">
        <f t="shared" si="92"/>
        <v>18.57867806223792</v>
      </c>
      <c r="BC40" s="230">
        <f t="shared" si="93"/>
        <v>9.65</v>
      </c>
      <c r="BD40" s="230">
        <f t="shared" si="94"/>
        <v>11.73</v>
      </c>
      <c r="BE40" s="230">
        <f t="shared" si="95"/>
        <v>9.65</v>
      </c>
      <c r="BF40" s="230">
        <f t="shared" si="96"/>
        <v>9.2001230755776469</v>
      </c>
      <c r="BG40" s="230">
        <f t="shared" si="97"/>
        <v>10.057530768894413</v>
      </c>
      <c r="BH40" s="230">
        <f t="shared" si="98"/>
        <v>1.1349690064410034</v>
      </c>
      <c r="BI40" s="230">
        <f t="shared" si="99"/>
        <v>11.28476792684738</v>
      </c>
      <c r="BK40" s="227">
        <f t="shared" si="208"/>
        <v>19.600000000000001</v>
      </c>
      <c r="BL40" s="227">
        <f t="shared" si="209"/>
        <v>31.73</v>
      </c>
      <c r="BM40" s="227">
        <f t="shared" si="210"/>
        <v>40.570889880896985</v>
      </c>
      <c r="BN40" s="227">
        <f t="shared" si="211"/>
        <v>22.731353137410739</v>
      </c>
      <c r="BO40" s="227">
        <f t="shared" si="212"/>
        <v>19.600000000000001</v>
      </c>
      <c r="BP40" s="227">
        <f t="shared" si="213"/>
        <v>30.678482860095286</v>
      </c>
      <c r="BQ40" s="227">
        <f t="shared" si="214"/>
        <v>31.86</v>
      </c>
      <c r="BR40" s="227">
        <f t="shared" si="100"/>
        <v>28.110103696914717</v>
      </c>
      <c r="BS40" s="227">
        <f t="shared" si="101"/>
        <v>7.7761153843421154</v>
      </c>
      <c r="BT40" s="227">
        <f t="shared" si="215"/>
        <v>27.663061894700867</v>
      </c>
      <c r="BV40" s="231">
        <f t="shared" si="102"/>
        <v>0.26</v>
      </c>
      <c r="BW40" s="231">
        <f t="shared" si="103"/>
        <v>0.31470902488998587</v>
      </c>
      <c r="BX40" s="231">
        <f t="shared" si="104"/>
        <v>0.31962584974151209</v>
      </c>
      <c r="BY40" s="231">
        <f t="shared" si="105"/>
        <v>0.26</v>
      </c>
      <c r="BZ40" s="231">
        <f t="shared" si="106"/>
        <v>0.33108289603982355</v>
      </c>
      <c r="CA40" s="231">
        <f t="shared" si="107"/>
        <v>0.31562569226672244</v>
      </c>
      <c r="CB40" s="231">
        <f t="shared" si="108"/>
        <v>0.48</v>
      </c>
      <c r="CC40" s="231">
        <f t="shared" si="109"/>
        <v>0.46535730455627627</v>
      </c>
      <c r="CD40" s="231">
        <f t="shared" si="110"/>
        <v>0.34330009593679001</v>
      </c>
      <c r="CE40" s="231">
        <f t="shared" si="111"/>
        <v>8.4308692808344673E-2</v>
      </c>
      <c r="CF40" s="231">
        <f t="shared" si="216"/>
        <v>24.558307383598279</v>
      </c>
      <c r="CH40" s="232">
        <f t="shared" si="112"/>
        <v>1.4763347294191758</v>
      </c>
      <c r="CI40" s="232">
        <f t="shared" si="113"/>
        <v>1.52</v>
      </c>
      <c r="CJ40" s="232">
        <f t="shared" si="114"/>
        <v>2.1</v>
      </c>
      <c r="CK40" s="232">
        <f t="shared" si="115"/>
        <v>1.9469532764171127</v>
      </c>
      <c r="CL40" s="232">
        <f t="shared" si="116"/>
        <v>1.9096833397276849</v>
      </c>
      <c r="CM40" s="232">
        <f t="shared" si="117"/>
        <v>1.5111862587892255</v>
      </c>
      <c r="CN40" s="232">
        <f t="shared" si="118"/>
        <v>1.4792270572230617</v>
      </c>
      <c r="CO40" s="232">
        <f t="shared" si="119"/>
        <v>1.8499731567049456</v>
      </c>
      <c r="CP40" s="232">
        <f t="shared" si="120"/>
        <v>1.52</v>
      </c>
      <c r="CQ40" s="232">
        <f t="shared" si="121"/>
        <v>1.489090128344924</v>
      </c>
      <c r="CR40" s="232">
        <f t="shared" si="122"/>
        <v>1.6802447946626131</v>
      </c>
      <c r="CS40" s="232">
        <f t="shared" si="123"/>
        <v>0.24203827484357149</v>
      </c>
      <c r="CT40" s="232">
        <f t="shared" si="217"/>
        <v>14.404941209305866</v>
      </c>
      <c r="CV40" s="229">
        <f t="shared" si="218"/>
        <v>0.83</v>
      </c>
      <c r="CW40" s="229">
        <f t="shared" si="219"/>
        <v>1.19</v>
      </c>
      <c r="CX40" s="229">
        <f t="shared" si="220"/>
        <v>0.72188310757262686</v>
      </c>
      <c r="CY40" s="229">
        <f t="shared" si="221"/>
        <v>0.53275936348546737</v>
      </c>
      <c r="CZ40" s="229">
        <f t="shared" si="222"/>
        <v>1.1831943055956402</v>
      </c>
      <c r="DA40" s="229">
        <f t="shared" si="223"/>
        <v>0.83</v>
      </c>
      <c r="DB40" s="229">
        <f t="shared" si="224"/>
        <v>0.53586607519334584</v>
      </c>
      <c r="DC40" s="229">
        <f t="shared" si="225"/>
        <v>0.89</v>
      </c>
      <c r="DD40" s="229">
        <f t="shared" si="226"/>
        <v>0.83921285648088506</v>
      </c>
      <c r="DE40" s="229">
        <f t="shared" si="227"/>
        <v>0.25180015541092748</v>
      </c>
      <c r="DF40" s="229">
        <f t="shared" si="228"/>
        <v>30.004325299163575</v>
      </c>
      <c r="DH40" s="234">
        <f t="shared" si="124"/>
        <v>5.3280000000000001E-2</v>
      </c>
      <c r="DI40" s="234">
        <f t="shared" si="125"/>
        <v>7.2000000000000008E-2</v>
      </c>
      <c r="DJ40" s="234">
        <f t="shared" si="126"/>
        <v>0.11360419194704964</v>
      </c>
      <c r="DK40" s="234">
        <f t="shared" si="229"/>
        <v>7.9628063982349881E-2</v>
      </c>
      <c r="DL40" s="234">
        <f t="shared" si="230"/>
        <v>3.0877055455552114E-2</v>
      </c>
      <c r="DM40" s="234">
        <f t="shared" si="231"/>
        <v>38.77659949436449</v>
      </c>
      <c r="DO40" s="229">
        <f t="shared" si="127"/>
        <v>2.38</v>
      </c>
      <c r="DP40" s="229">
        <f t="shared" si="128"/>
        <v>3.49</v>
      </c>
      <c r="DQ40" s="229">
        <f t="shared" si="129"/>
        <v>3.7983805090040881</v>
      </c>
      <c r="DR40" s="229">
        <f t="shared" si="130"/>
        <v>2.9749552701308493</v>
      </c>
      <c r="DS40" s="229">
        <f t="shared" si="131"/>
        <v>2.6346303539683418</v>
      </c>
      <c r="DT40" s="229">
        <f t="shared" si="132"/>
        <v>2.38</v>
      </c>
      <c r="DU40" s="229">
        <f t="shared" si="133"/>
        <v>1.6272</v>
      </c>
      <c r="DV40" s="229">
        <f t="shared" si="134"/>
        <v>3.3631125456617754</v>
      </c>
      <c r="DW40" s="229">
        <f t="shared" si="232"/>
        <v>2.8310348348456316</v>
      </c>
      <c r="DX40" s="229">
        <f t="shared" si="233"/>
        <v>0.71398983570446195</v>
      </c>
      <c r="DY40" s="229">
        <f t="shared" si="234"/>
        <v>25.220100682491029</v>
      </c>
      <c r="EA40" s="235">
        <f t="shared" si="135"/>
        <v>0.14000000000000001</v>
      </c>
      <c r="EB40" s="235">
        <f t="shared" si="136"/>
        <v>0.21127801690693868</v>
      </c>
      <c r="EC40" s="235">
        <f t="shared" si="137"/>
        <v>0.14000000000000001</v>
      </c>
      <c r="ED40" s="235">
        <f t="shared" si="138"/>
        <v>0.16548805263323915</v>
      </c>
      <c r="EE40" s="235">
        <f t="shared" si="139"/>
        <v>0.14088457084664793</v>
      </c>
      <c r="EF40" s="235">
        <f t="shared" si="140"/>
        <v>0.15953012807736516</v>
      </c>
      <c r="EG40" s="235">
        <f t="shared" si="141"/>
        <v>3.0918641113460488E-2</v>
      </c>
      <c r="EH40" s="235">
        <f t="shared" si="235"/>
        <v>19.381067066194728</v>
      </c>
      <c r="EJ40" s="229">
        <f t="shared" si="142"/>
        <v>7.5426305676856105</v>
      </c>
      <c r="EK40" s="229">
        <f t="shared" si="143"/>
        <v>15.943587114661842</v>
      </c>
      <c r="EL40" s="229">
        <f t="shared" si="144"/>
        <v>6.91</v>
      </c>
      <c r="EM40" s="229">
        <f t="shared" si="145"/>
        <v>14.4</v>
      </c>
      <c r="EN40" s="229">
        <f t="shared" si="146"/>
        <v>19.301241455470052</v>
      </c>
      <c r="EO40" s="229">
        <f t="shared" si="236"/>
        <v>19.726123130820444</v>
      </c>
      <c r="EP40" s="229">
        <f t="shared" si="147"/>
        <v>19.879073838348965</v>
      </c>
      <c r="EQ40" s="229">
        <f t="shared" si="148"/>
        <v>14.814665158140988</v>
      </c>
      <c r="ER40" s="229">
        <f t="shared" si="149"/>
        <v>5.5784205036568659</v>
      </c>
      <c r="ES40" s="229">
        <f t="shared" si="237"/>
        <v>37.654718781081591</v>
      </c>
      <c r="EU40" s="238">
        <f t="shared" si="191"/>
        <v>1.576076691745135E-2</v>
      </c>
      <c r="EV40" s="238">
        <f t="shared" si="151"/>
        <v>1.576076691745135E-2</v>
      </c>
      <c r="EW40" s="238" t="e">
        <f t="shared" si="152"/>
        <v>#DIV/0!</v>
      </c>
      <c r="EX40" s="238" t="e">
        <f t="shared" si="238"/>
        <v>#DIV/0!</v>
      </c>
      <c r="EZ40" s="240">
        <f t="shared" si="153"/>
        <v>2.6950911428840898E-2</v>
      </c>
      <c r="FA40" s="240">
        <f t="shared" si="154"/>
        <v>2.6950911428840898E-2</v>
      </c>
      <c r="FB40" s="240" t="e">
        <f t="shared" si="155"/>
        <v>#DIV/0!</v>
      </c>
      <c r="FC40" s="240" t="e">
        <f t="shared" si="239"/>
        <v>#DIV/0!</v>
      </c>
      <c r="FE40" s="236">
        <f t="shared" si="156"/>
        <v>0.9</v>
      </c>
      <c r="FF40" s="236">
        <f t="shared" si="157"/>
        <v>1.2</v>
      </c>
      <c r="FG40" s="236">
        <f t="shared" si="158"/>
        <v>1.3183204369448371</v>
      </c>
      <c r="FH40" s="236">
        <f t="shared" si="159"/>
        <v>1.3002632706897364</v>
      </c>
      <c r="FI40" s="236">
        <f t="shared" si="160"/>
        <v>0.9</v>
      </c>
      <c r="FJ40" s="236">
        <f t="shared" si="161"/>
        <v>1.1032536842215945</v>
      </c>
      <c r="FK40" s="236">
        <f t="shared" si="240"/>
        <v>1.1203062319760282</v>
      </c>
      <c r="FL40" s="236">
        <f t="shared" si="241"/>
        <v>0.18724621165394134</v>
      </c>
      <c r="FM40" s="236">
        <f t="shared" si="242"/>
        <v>16.713841832663121</v>
      </c>
      <c r="FO40" s="227">
        <f t="shared" si="162"/>
        <v>0.3</v>
      </c>
      <c r="FP40" s="227">
        <f t="shared" si="163"/>
        <v>0.32</v>
      </c>
      <c r="FQ40" s="227">
        <f t="shared" si="164"/>
        <v>0.35572344771625009</v>
      </c>
      <c r="FR40" s="227">
        <f t="shared" si="165"/>
        <v>0.3</v>
      </c>
      <c r="FS40" s="227">
        <f t="shared" si="166"/>
        <v>0.35461725564265534</v>
      </c>
      <c r="FT40" s="227">
        <f t="shared" si="243"/>
        <v>0.32606814067178103</v>
      </c>
      <c r="FU40" s="227">
        <f t="shared" si="244"/>
        <v>2.7795716616513002E-2</v>
      </c>
      <c r="FV40" s="227">
        <f t="shared" si="245"/>
        <v>8.5245116432555932</v>
      </c>
      <c r="FX40" s="230">
        <f t="shared" si="167"/>
        <v>2.94</v>
      </c>
      <c r="FY40" s="230">
        <f t="shared" si="168"/>
        <v>1.6548805263323918</v>
      </c>
      <c r="FZ40" s="230">
        <f t="shared" si="169"/>
        <v>2.94</v>
      </c>
      <c r="GA40" s="230">
        <f t="shared" si="170"/>
        <v>3.8895882276967346</v>
      </c>
      <c r="GB40" s="230">
        <f t="shared" si="246"/>
        <v>2.8561171885072816</v>
      </c>
      <c r="GC40" s="230">
        <f t="shared" si="247"/>
        <v>0.91744292456883381</v>
      </c>
      <c r="GD40" s="230">
        <f t="shared" si="248"/>
        <v>32.122033656760607</v>
      </c>
      <c r="GF40" s="231">
        <f t="shared" si="171"/>
        <v>0.06</v>
      </c>
      <c r="GG40" s="231">
        <f t="shared" si="172"/>
        <v>0.05</v>
      </c>
      <c r="GH40" s="231">
        <f t="shared" si="173"/>
        <v>0.06</v>
      </c>
      <c r="GI40" s="231">
        <f t="shared" si="174"/>
        <v>6.30430676698054E-2</v>
      </c>
      <c r="GJ40" s="245">
        <f t="shared" si="187"/>
        <v>5.8260766917451343E-2</v>
      </c>
      <c r="GK40" s="231">
        <f t="shared" si="188"/>
        <v>5.6909440921897453E-3</v>
      </c>
      <c r="GL40" s="231">
        <f t="shared" si="249"/>
        <v>9.7680555771830875</v>
      </c>
      <c r="GN40" s="246">
        <f t="shared" si="175"/>
        <v>0.18</v>
      </c>
      <c r="GO40" s="246">
        <f t="shared" si="176"/>
        <v>0.18</v>
      </c>
      <c r="GP40" s="246">
        <f t="shared" si="177"/>
        <v>0.16548805263323915</v>
      </c>
      <c r="GQ40" s="247">
        <f t="shared" si="189"/>
        <v>0.17516268421107972</v>
      </c>
      <c r="GR40" s="246">
        <f t="shared" si="190"/>
        <v>8.3784767186650521E-3</v>
      </c>
      <c r="GS40" s="246">
        <f t="shared" si="250"/>
        <v>4.7832543537461278</v>
      </c>
      <c r="GU40" s="249">
        <f t="shared" si="178"/>
        <v>2.1592250676908349E-2</v>
      </c>
      <c r="GV40" s="249">
        <f t="shared" si="179"/>
        <v>2.1592250676908349E-2</v>
      </c>
      <c r="GW40" s="249" t="e">
        <f t="shared" si="180"/>
        <v>#DIV/0!</v>
      </c>
      <c r="GX40" s="249" t="e">
        <f t="shared" si="251"/>
        <v>#DIV/0!</v>
      </c>
      <c r="GZ40" s="240">
        <f t="shared" si="181"/>
        <v>2.3641150376177027E-2</v>
      </c>
      <c r="HA40" s="240">
        <f t="shared" si="182"/>
        <v>2.3641150376177027E-2</v>
      </c>
      <c r="HB40" s="240" t="e">
        <f t="shared" si="183"/>
        <v>#DIV/0!</v>
      </c>
      <c r="HC40" s="240" t="e">
        <f t="shared" si="252"/>
        <v>#DIV/0!</v>
      </c>
      <c r="HE40" s="234">
        <f t="shared" si="184"/>
        <v>9.3346363158835516E-2</v>
      </c>
      <c r="HF40" s="251">
        <f t="shared" si="185"/>
        <v>9.3346363158835516E-2</v>
      </c>
      <c r="HG40" s="234" t="e">
        <f t="shared" si="186"/>
        <v>#DIV/0!</v>
      </c>
      <c r="HH40" s="234" t="e">
        <f t="shared" si="253"/>
        <v>#DIV/0!</v>
      </c>
    </row>
    <row r="41" spans="2:216" ht="15.6" x14ac:dyDescent="0.25">
      <c r="B41">
        <v>37</v>
      </c>
      <c r="C41" s="124">
        <f t="shared" si="52"/>
        <v>78.969641516015145</v>
      </c>
      <c r="D41" s="124">
        <f t="shared" si="53"/>
        <v>176.56058284904987</v>
      </c>
      <c r="E41" s="29">
        <f t="shared" si="201"/>
        <v>2.003412393432455</v>
      </c>
      <c r="F41" s="29">
        <f t="shared" si="202"/>
        <v>1.9578745717868682</v>
      </c>
      <c r="G41" s="29">
        <f t="shared" si="203"/>
        <v>1.9781725297132899</v>
      </c>
      <c r="H41" s="29">
        <f t="shared" si="204"/>
        <v>2.003412393432455</v>
      </c>
      <c r="I41" s="29">
        <f t="shared" si="205"/>
        <v>1.968002790016665</v>
      </c>
      <c r="J41" s="125">
        <f t="shared" si="206"/>
        <v>1.9821749356763469</v>
      </c>
      <c r="K41" s="126">
        <f t="shared" si="207"/>
        <v>2.0672662353567271E-2</v>
      </c>
      <c r="L41" s="126">
        <f t="shared" si="55"/>
        <v>1.0429282492422123</v>
      </c>
      <c r="N41" s="138">
        <f t="shared" si="56"/>
        <v>416.25673649203281</v>
      </c>
      <c r="O41" s="138">
        <f t="shared" si="57"/>
        <v>325.79239999999999</v>
      </c>
      <c r="P41" s="138">
        <f t="shared" si="58"/>
        <v>372.84759323163019</v>
      </c>
      <c r="Q41" s="138">
        <f t="shared" si="59"/>
        <v>419.9106200332759</v>
      </c>
      <c r="R41" s="138">
        <f t="shared" si="60"/>
        <v>416.25673649203281</v>
      </c>
      <c r="S41" s="138">
        <f t="shared" si="61"/>
        <v>393.63870000000003</v>
      </c>
      <c r="T41" s="138">
        <f t="shared" si="62"/>
        <v>390.78379770816196</v>
      </c>
      <c r="U41" s="138">
        <f t="shared" si="63"/>
        <v>36.605607967940657</v>
      </c>
      <c r="V41" s="138">
        <f t="shared" si="64"/>
        <v>9.3672276544274204</v>
      </c>
      <c r="X41" s="227">
        <f t="shared" si="65"/>
        <v>0.45019128395000002</v>
      </c>
      <c r="Y41" s="227">
        <f t="shared" si="66"/>
        <v>0.47</v>
      </c>
      <c r="Z41" s="227">
        <f t="shared" si="67"/>
        <v>0.45019128395000002</v>
      </c>
      <c r="AA41" s="227">
        <f t="shared" si="68"/>
        <v>0.45679418929999999</v>
      </c>
      <c r="AB41" s="227">
        <f t="shared" si="69"/>
        <v>1.1436567543768332E-2</v>
      </c>
      <c r="AC41" s="227">
        <f t="shared" si="70"/>
        <v>2.5036587180090759</v>
      </c>
      <c r="AE41" s="228">
        <f t="shared" si="71"/>
        <v>4.4249354585963152</v>
      </c>
      <c r="AF41" s="228">
        <f t="shared" si="72"/>
        <v>5.2850000000000001</v>
      </c>
      <c r="AG41" s="228">
        <f t="shared" si="73"/>
        <v>4.4249354585963152</v>
      </c>
      <c r="AH41" s="228">
        <f t="shared" si="74"/>
        <v>7.081394494564063</v>
      </c>
      <c r="AI41" s="228">
        <f t="shared" si="75"/>
        <v>5.2850000000000001</v>
      </c>
      <c r="AJ41" s="228">
        <f t="shared" si="76"/>
        <v>6.0095897182242526</v>
      </c>
      <c r="AK41" s="228">
        <f t="shared" si="77"/>
        <v>5.4628703167945609</v>
      </c>
      <c r="AL41" s="228">
        <f t="shared" si="78"/>
        <v>5.4248179209679295</v>
      </c>
      <c r="AM41" s="228">
        <f t="shared" si="79"/>
        <v>0.92432677871035396</v>
      </c>
      <c r="AN41" s="228">
        <f t="shared" si="80"/>
        <v>17.038853509491243</v>
      </c>
      <c r="AP41" s="229">
        <f t="shared" si="192"/>
        <v>1.4079006942348322</v>
      </c>
      <c r="AQ41" s="229">
        <f t="shared" si="193"/>
        <v>1.4</v>
      </c>
      <c r="AR41" s="229">
        <f t="shared" si="194"/>
        <v>1.47</v>
      </c>
      <c r="AS41" s="229">
        <f t="shared" si="195"/>
        <v>1.4237309813324706</v>
      </c>
      <c r="AT41" s="229">
        <f t="shared" si="196"/>
        <v>1.4079006942348322</v>
      </c>
      <c r="AU41" s="229">
        <f t="shared" si="197"/>
        <v>0.69812208111733021</v>
      </c>
      <c r="AV41" s="229">
        <f t="shared" si="198"/>
        <v>1.4</v>
      </c>
      <c r="AW41" s="229">
        <f t="shared" si="199"/>
        <v>1.4499999064425191</v>
      </c>
      <c r="AX41" s="229">
        <f t="shared" si="200"/>
        <v>1.4317025213485675</v>
      </c>
      <c r="AY41" s="229">
        <f t="shared" si="90"/>
        <v>1.3432618754122836</v>
      </c>
      <c r="AZ41" s="229">
        <f t="shared" si="91"/>
        <v>0.24309276056101242</v>
      </c>
      <c r="BA41" s="229">
        <f t="shared" si="92"/>
        <v>18.09719794856834</v>
      </c>
      <c r="BC41" s="230">
        <f t="shared" si="93"/>
        <v>9.65</v>
      </c>
      <c r="BD41" s="230">
        <f t="shared" si="94"/>
        <v>11.73</v>
      </c>
      <c r="BE41" s="230">
        <f t="shared" si="95"/>
        <v>9.65</v>
      </c>
      <c r="BF41" s="230">
        <f t="shared" si="96"/>
        <v>9.2001230764281203</v>
      </c>
      <c r="BG41" s="230">
        <f t="shared" si="97"/>
        <v>10.05753076910703</v>
      </c>
      <c r="BH41" s="230">
        <f t="shared" si="98"/>
        <v>1.1349690062268409</v>
      </c>
      <c r="BI41" s="230">
        <f t="shared" si="99"/>
        <v>11.284767924479445</v>
      </c>
      <c r="BK41" s="227">
        <f t="shared" si="208"/>
        <v>19.600000000000001</v>
      </c>
      <c r="BL41" s="227">
        <f t="shared" si="209"/>
        <v>31.73</v>
      </c>
      <c r="BM41" s="227">
        <f t="shared" si="210"/>
        <v>40.540419157456149</v>
      </c>
      <c r="BN41" s="227">
        <f t="shared" si="211"/>
        <v>22.7471978277581</v>
      </c>
      <c r="BO41" s="227">
        <f t="shared" si="212"/>
        <v>19.600000000000001</v>
      </c>
      <c r="BP41" s="227">
        <f t="shared" si="213"/>
        <v>30.658663296093742</v>
      </c>
      <c r="BQ41" s="227">
        <f t="shared" si="214"/>
        <v>31.86</v>
      </c>
      <c r="BR41" s="227">
        <f t="shared" si="100"/>
        <v>28.105182897329712</v>
      </c>
      <c r="BS41" s="227">
        <f t="shared" si="101"/>
        <v>7.765066964018656</v>
      </c>
      <c r="BT41" s="227">
        <f t="shared" si="215"/>
        <v>27.628594314383271</v>
      </c>
      <c r="BV41" s="231">
        <f t="shared" si="102"/>
        <v>0.26</v>
      </c>
      <c r="BW41" s="231">
        <f t="shared" si="103"/>
        <v>0.31479331494756901</v>
      </c>
      <c r="BX41" s="231">
        <f t="shared" si="104"/>
        <v>0.32011031289212355</v>
      </c>
      <c r="BY41" s="231">
        <f t="shared" si="105"/>
        <v>0.26</v>
      </c>
      <c r="BZ41" s="231">
        <f t="shared" si="106"/>
        <v>0.33175854822620099</v>
      </c>
      <c r="CA41" s="231">
        <f t="shared" si="107"/>
        <v>0.314933153055584</v>
      </c>
      <c r="CB41" s="231">
        <f t="shared" si="108"/>
        <v>0.48</v>
      </c>
      <c r="CC41" s="231">
        <f t="shared" si="109"/>
        <v>0.46312501042974008</v>
      </c>
      <c r="CD41" s="231">
        <f t="shared" si="110"/>
        <v>0.34309004244390223</v>
      </c>
      <c r="CE41" s="231">
        <f t="shared" si="111"/>
        <v>8.3845628783359882E-2</v>
      </c>
      <c r="CF41" s="231">
        <f t="shared" si="216"/>
        <v>24.438374307254708</v>
      </c>
      <c r="CH41" s="232">
        <f t="shared" si="112"/>
        <v>1.4753326495566754</v>
      </c>
      <c r="CI41" s="232">
        <f t="shared" si="113"/>
        <v>1.52</v>
      </c>
      <c r="CJ41" s="232">
        <f t="shared" si="114"/>
        <v>2.1</v>
      </c>
      <c r="CK41" s="232">
        <f t="shared" si="115"/>
        <v>1.950951895449835</v>
      </c>
      <c r="CL41" s="232">
        <f t="shared" si="116"/>
        <v>1.9095976418363962</v>
      </c>
      <c r="CM41" s="232">
        <f t="shared" si="117"/>
        <v>1.513665778024488</v>
      </c>
      <c r="CN41" s="232">
        <f t="shared" si="118"/>
        <v>1.4782230141584567</v>
      </c>
      <c r="CO41" s="232">
        <f t="shared" si="119"/>
        <v>1.8536948583643291</v>
      </c>
      <c r="CP41" s="232">
        <f t="shared" si="120"/>
        <v>1.52</v>
      </c>
      <c r="CQ41" s="232">
        <f t="shared" si="121"/>
        <v>1.4873407732844794</v>
      </c>
      <c r="CR41" s="232">
        <f t="shared" si="122"/>
        <v>1.6808806610674663</v>
      </c>
      <c r="CS41" s="232">
        <f t="shared" si="123"/>
        <v>0.24296307043557541</v>
      </c>
      <c r="CT41" s="232">
        <f t="shared" si="217"/>
        <v>14.454510427960923</v>
      </c>
      <c r="CV41" s="229">
        <f t="shared" si="218"/>
        <v>0.83</v>
      </c>
      <c r="CW41" s="229">
        <f t="shared" si="219"/>
        <v>1.19</v>
      </c>
      <c r="CX41" s="229">
        <f t="shared" si="220"/>
        <v>0.72516367393638514</v>
      </c>
      <c r="CY41" s="229">
        <f t="shared" si="221"/>
        <v>0.53046914319951577</v>
      </c>
      <c r="CZ41" s="229">
        <f t="shared" si="222"/>
        <v>1.1850880374047403</v>
      </c>
      <c r="DA41" s="229">
        <f t="shared" si="223"/>
        <v>0.83</v>
      </c>
      <c r="DB41" s="229">
        <f t="shared" si="224"/>
        <v>0.53699356230890294</v>
      </c>
      <c r="DC41" s="229">
        <f t="shared" si="225"/>
        <v>0.89</v>
      </c>
      <c r="DD41" s="229">
        <f t="shared" si="226"/>
        <v>0.83971430210619302</v>
      </c>
      <c r="DE41" s="229">
        <f t="shared" si="227"/>
        <v>0.25216058799085106</v>
      </c>
      <c r="DF41" s="229">
        <f t="shared" si="228"/>
        <v>30.029331090154756</v>
      </c>
      <c r="DH41" s="234">
        <f t="shared" si="124"/>
        <v>5.4759999999999996E-2</v>
      </c>
      <c r="DI41" s="234">
        <f t="shared" si="125"/>
        <v>7.3999999999999996E-2</v>
      </c>
      <c r="DJ41" s="234">
        <f t="shared" si="126"/>
        <v>0.11335334481047089</v>
      </c>
      <c r="DK41" s="234">
        <f t="shared" si="229"/>
        <v>8.070444827015695E-2</v>
      </c>
      <c r="DL41" s="234">
        <f t="shared" si="230"/>
        <v>2.986649015159118E-2</v>
      </c>
      <c r="DM41" s="234">
        <f t="shared" si="231"/>
        <v>37.007241597902443</v>
      </c>
      <c r="DO41" s="229">
        <f t="shared" si="127"/>
        <v>2.38</v>
      </c>
      <c r="DP41" s="229">
        <f t="shared" si="128"/>
        <v>3.49</v>
      </c>
      <c r="DQ41" s="229">
        <f t="shared" si="129"/>
        <v>3.7962145931608307</v>
      </c>
      <c r="DR41" s="229">
        <f t="shared" si="130"/>
        <v>2.9732624035145205</v>
      </c>
      <c r="DS41" s="229">
        <f t="shared" si="131"/>
        <v>2.6389831037696898</v>
      </c>
      <c r="DT41" s="229">
        <f t="shared" si="132"/>
        <v>2.38</v>
      </c>
      <c r="DU41" s="229">
        <f t="shared" si="133"/>
        <v>1.6723999999999999</v>
      </c>
      <c r="DV41" s="229">
        <f t="shared" si="134"/>
        <v>3.3568936269230627</v>
      </c>
      <c r="DW41" s="229">
        <f t="shared" si="232"/>
        <v>2.835969215921013</v>
      </c>
      <c r="DX41" s="229">
        <f t="shared" si="233"/>
        <v>0.70189048929359321</v>
      </c>
      <c r="DY41" s="229">
        <f t="shared" si="234"/>
        <v>24.749580684910445</v>
      </c>
      <c r="EA41" s="235">
        <f t="shared" si="135"/>
        <v>0.14000000000000001</v>
      </c>
      <c r="EB41" s="235">
        <f t="shared" si="136"/>
        <v>0.21164962368386184</v>
      </c>
      <c r="EC41" s="235">
        <f t="shared" si="137"/>
        <v>0.14000000000000001</v>
      </c>
      <c r="ED41" s="235">
        <f t="shared" si="138"/>
        <v>0.1658362471836318</v>
      </c>
      <c r="EE41" s="235">
        <f t="shared" si="139"/>
        <v>0.14059855989182488</v>
      </c>
      <c r="EF41" s="235">
        <f t="shared" si="140"/>
        <v>0.1596168861518637</v>
      </c>
      <c r="EG41" s="235">
        <f t="shared" si="141"/>
        <v>3.1134496161978061E-2</v>
      </c>
      <c r="EH41" s="235">
        <f t="shared" si="235"/>
        <v>19.505765907722246</v>
      </c>
      <c r="EJ41" s="229">
        <f t="shared" si="142"/>
        <v>7.5426305676856105</v>
      </c>
      <c r="EK41" s="229">
        <f t="shared" si="143"/>
        <v>15.982915655385831</v>
      </c>
      <c r="EL41" s="229">
        <f t="shared" si="144"/>
        <v>6.91</v>
      </c>
      <c r="EM41" s="229">
        <f t="shared" si="145"/>
        <v>14.4</v>
      </c>
      <c r="EN41" s="229">
        <f t="shared" si="146"/>
        <v>19.499357821155183</v>
      </c>
      <c r="EO41" s="229">
        <f t="shared" si="236"/>
        <v>19.894017175077394</v>
      </c>
      <c r="EP41" s="229">
        <f t="shared" si="147"/>
        <v>19.99275085167071</v>
      </c>
      <c r="EQ41" s="229">
        <f t="shared" si="148"/>
        <v>14.888810295853531</v>
      </c>
      <c r="ER41" s="229">
        <f t="shared" si="149"/>
        <v>5.6483511747981812</v>
      </c>
      <c r="ES41" s="229">
        <f t="shared" si="237"/>
        <v>37.936887249958595</v>
      </c>
      <c r="EU41" s="238">
        <f t="shared" si="191"/>
        <v>1.5793928303203031E-2</v>
      </c>
      <c r="EV41" s="238">
        <f t="shared" si="151"/>
        <v>1.5793928303203031E-2</v>
      </c>
      <c r="EW41" s="238" t="e">
        <f t="shared" si="152"/>
        <v>#DIV/0!</v>
      </c>
      <c r="EX41" s="238" t="e">
        <f t="shared" si="238"/>
        <v>#DIV/0!</v>
      </c>
      <c r="EZ41" s="240">
        <f t="shared" si="153"/>
        <v>2.7007617398476957E-2</v>
      </c>
      <c r="FA41" s="240">
        <f t="shared" si="154"/>
        <v>2.7007617398476957E-2</v>
      </c>
      <c r="FB41" s="240" t="e">
        <f t="shared" si="155"/>
        <v>#DIV/0!</v>
      </c>
      <c r="FC41" s="240" t="e">
        <f t="shared" si="239"/>
        <v>#DIV/0!</v>
      </c>
      <c r="FE41" s="236">
        <f t="shared" si="156"/>
        <v>0.9</v>
      </c>
      <c r="FF41" s="236">
        <f t="shared" si="157"/>
        <v>1.2</v>
      </c>
      <c r="FG41" s="236">
        <f t="shared" si="158"/>
        <v>1.3199858265748061</v>
      </c>
      <c r="FH41" s="236">
        <f t="shared" si="159"/>
        <v>1.3029990850142499</v>
      </c>
      <c r="FI41" s="236">
        <f t="shared" si="160"/>
        <v>0.9</v>
      </c>
      <c r="FJ41" s="236">
        <f t="shared" si="161"/>
        <v>1.1055749812242119</v>
      </c>
      <c r="FK41" s="236">
        <f t="shared" si="240"/>
        <v>1.1214266488022113</v>
      </c>
      <c r="FL41" s="236">
        <f t="shared" si="241"/>
        <v>0.18808448375807788</v>
      </c>
      <c r="FM41" s="236">
        <f t="shared" si="242"/>
        <v>16.771893548184337</v>
      </c>
      <c r="FO41" s="227">
        <f t="shared" si="162"/>
        <v>0.3</v>
      </c>
      <c r="FP41" s="227">
        <f t="shared" si="163"/>
        <v>0.32</v>
      </c>
      <c r="FQ41" s="227">
        <f t="shared" si="164"/>
        <v>0.35504396119360782</v>
      </c>
      <c r="FR41" s="227">
        <f t="shared" si="165"/>
        <v>0.3</v>
      </c>
      <c r="FS41" s="227">
        <f t="shared" si="166"/>
        <v>0.35536338682206814</v>
      </c>
      <c r="FT41" s="227">
        <f t="shared" si="243"/>
        <v>0.32608146960313517</v>
      </c>
      <c r="FU41" s="227">
        <f t="shared" si="244"/>
        <v>2.7810640863692029E-2</v>
      </c>
      <c r="FV41" s="227">
        <f t="shared" si="245"/>
        <v>8.5287400408062428</v>
      </c>
      <c r="FX41" s="230">
        <f t="shared" si="167"/>
        <v>2.94</v>
      </c>
      <c r="FY41" s="230">
        <f t="shared" si="168"/>
        <v>1.6583624718363181</v>
      </c>
      <c r="FZ41" s="230">
        <f t="shared" si="169"/>
        <v>2.94</v>
      </c>
      <c r="GA41" s="230">
        <f t="shared" si="170"/>
        <v>3.9031451149408523</v>
      </c>
      <c r="GB41" s="230">
        <f t="shared" si="246"/>
        <v>2.8603768966942926</v>
      </c>
      <c r="GC41" s="230">
        <f t="shared" si="247"/>
        <v>0.92102911856101022</v>
      </c>
      <c r="GD41" s="230">
        <f t="shared" si="248"/>
        <v>32.199572008340368</v>
      </c>
      <c r="GF41" s="231">
        <f t="shared" si="171"/>
        <v>0.06</v>
      </c>
      <c r="GG41" s="231">
        <f t="shared" si="172"/>
        <v>0.05</v>
      </c>
      <c r="GH41" s="231">
        <f t="shared" si="173"/>
        <v>0.06</v>
      </c>
      <c r="GI41" s="231">
        <f t="shared" si="174"/>
        <v>6.3175713212812123E-2</v>
      </c>
      <c r="GJ41" s="245">
        <f t="shared" si="187"/>
        <v>5.8293928303203027E-2</v>
      </c>
      <c r="GK41" s="231">
        <f t="shared" si="188"/>
        <v>5.7283631132457229E-3</v>
      </c>
      <c r="GL41" s="231">
        <f t="shared" si="249"/>
        <v>9.8266891252394313</v>
      </c>
      <c r="GN41" s="246">
        <f t="shared" si="175"/>
        <v>0.18</v>
      </c>
      <c r="GO41" s="246">
        <f t="shared" si="176"/>
        <v>0.18</v>
      </c>
      <c r="GP41" s="246">
        <f t="shared" si="177"/>
        <v>0.1658362471836318</v>
      </c>
      <c r="GQ41" s="247">
        <f t="shared" si="189"/>
        <v>0.17527874906121058</v>
      </c>
      <c r="GR41" s="246">
        <f t="shared" si="190"/>
        <v>8.1774465012654993E-3</v>
      </c>
      <c r="GS41" s="246">
        <f t="shared" si="250"/>
        <v>4.665395288968992</v>
      </c>
      <c r="GU41" s="249">
        <f t="shared" si="178"/>
        <v>2.1637681775388148E-2</v>
      </c>
      <c r="GV41" s="249">
        <f t="shared" si="179"/>
        <v>2.1637681775388148E-2</v>
      </c>
      <c r="GW41" s="249" t="e">
        <f t="shared" si="180"/>
        <v>#DIV/0!</v>
      </c>
      <c r="GX41" s="249" t="e">
        <f t="shared" si="251"/>
        <v>#DIV/0!</v>
      </c>
      <c r="GZ41" s="240">
        <f t="shared" si="181"/>
        <v>2.3690892454804546E-2</v>
      </c>
      <c r="HA41" s="240">
        <f t="shared" si="182"/>
        <v>2.3690892454804546E-2</v>
      </c>
      <c r="HB41" s="240" t="e">
        <f t="shared" si="183"/>
        <v>#DIV/0!</v>
      </c>
      <c r="HC41" s="240" t="e">
        <f t="shared" si="252"/>
        <v>#DIV/0!</v>
      </c>
      <c r="HE41" s="234">
        <f t="shared" si="184"/>
        <v>9.3543673404058003E-2</v>
      </c>
      <c r="HF41" s="251">
        <f t="shared" si="185"/>
        <v>9.3543673404058003E-2</v>
      </c>
      <c r="HG41" s="234" t="e">
        <f t="shared" si="186"/>
        <v>#DIV/0!</v>
      </c>
      <c r="HH41" s="234" t="e">
        <f t="shared" si="253"/>
        <v>#DIV/0!</v>
      </c>
    </row>
    <row r="42" spans="2:216" ht="15.6" x14ac:dyDescent="0.25">
      <c r="B42">
        <v>38</v>
      </c>
      <c r="C42" s="124">
        <f t="shared" si="52"/>
        <v>79.142673536688449</v>
      </c>
      <c r="D42" s="124">
        <f t="shared" si="53"/>
        <v>176.02439347573147</v>
      </c>
      <c r="E42" s="29">
        <f t="shared" si="201"/>
        <v>2.0031333684565338</v>
      </c>
      <c r="F42" s="29">
        <f t="shared" si="202"/>
        <v>1.9553801379344884</v>
      </c>
      <c r="G42" s="29">
        <f t="shared" si="203"/>
        <v>1.9778633434896125</v>
      </c>
      <c r="H42" s="29">
        <f t="shared" si="204"/>
        <v>2.0031333684565338</v>
      </c>
      <c r="I42" s="29">
        <f t="shared" si="205"/>
        <v>1.9671638571630794</v>
      </c>
      <c r="J42" s="125">
        <f t="shared" si="206"/>
        <v>1.9813348151000496</v>
      </c>
      <c r="K42" s="126">
        <f t="shared" si="207"/>
        <v>2.1429339045062317E-2</v>
      </c>
      <c r="L42" s="126">
        <f t="shared" si="55"/>
        <v>1.0815607176407598</v>
      </c>
      <c r="N42" s="138">
        <f t="shared" si="56"/>
        <v>416.08031117101035</v>
      </c>
      <c r="O42" s="138">
        <f t="shared" si="57"/>
        <v>325.79239999999999</v>
      </c>
      <c r="P42" s="138">
        <f t="shared" si="58"/>
        <v>371.06775134082096</v>
      </c>
      <c r="Q42" s="138">
        <f t="shared" si="59"/>
        <v>420.61052178561113</v>
      </c>
      <c r="R42" s="138">
        <f t="shared" si="60"/>
        <v>416.08031117101035</v>
      </c>
      <c r="S42" s="138">
        <f t="shared" si="61"/>
        <v>393.25319999999999</v>
      </c>
      <c r="T42" s="138">
        <f t="shared" si="62"/>
        <v>390.48074924474213</v>
      </c>
      <c r="U42" s="138">
        <f t="shared" si="63"/>
        <v>36.84457038375097</v>
      </c>
      <c r="V42" s="138">
        <f t="shared" si="64"/>
        <v>9.4356944497301836</v>
      </c>
      <c r="X42" s="227">
        <f t="shared" si="65"/>
        <v>0.45017643880000002</v>
      </c>
      <c r="Y42" s="227">
        <f t="shared" si="66"/>
        <v>0.47</v>
      </c>
      <c r="Z42" s="227">
        <f t="shared" si="67"/>
        <v>0.45017643880000002</v>
      </c>
      <c r="AA42" s="227">
        <f t="shared" si="68"/>
        <v>0.45678429253333336</v>
      </c>
      <c r="AB42" s="227">
        <f t="shared" si="69"/>
        <v>1.1445138395116992E-2</v>
      </c>
      <c r="AC42" s="227">
        <f t="shared" si="70"/>
        <v>2.5055893081703977</v>
      </c>
      <c r="AE42" s="228">
        <f t="shared" si="71"/>
        <v>4.4226696341977609</v>
      </c>
      <c r="AF42" s="228">
        <f t="shared" si="72"/>
        <v>5.2850000000000001</v>
      </c>
      <c r="AG42" s="228">
        <f t="shared" si="73"/>
        <v>4.4226696341977609</v>
      </c>
      <c r="AH42" s="228">
        <f t="shared" si="74"/>
        <v>7.096905893467544</v>
      </c>
      <c r="AI42" s="228">
        <f t="shared" si="75"/>
        <v>5.2850000000000001</v>
      </c>
      <c r="AJ42" s="228">
        <f t="shared" si="76"/>
        <v>6.0227574555074437</v>
      </c>
      <c r="AK42" s="228">
        <f t="shared" si="77"/>
        <v>5.460231070078458</v>
      </c>
      <c r="AL42" s="228">
        <f t="shared" si="78"/>
        <v>5.4278905267784241</v>
      </c>
      <c r="AM42" s="228">
        <f t="shared" si="79"/>
        <v>0.93115504964964813</v>
      </c>
      <c r="AN42" s="228">
        <f t="shared" si="80"/>
        <v>17.15500791800806</v>
      </c>
      <c r="AP42" s="229">
        <f t="shared" si="192"/>
        <v>1.4088468892484189</v>
      </c>
      <c r="AQ42" s="229">
        <f t="shared" si="193"/>
        <v>1.4</v>
      </c>
      <c r="AR42" s="229">
        <f t="shared" si="194"/>
        <v>1.47</v>
      </c>
      <c r="AS42" s="229">
        <f t="shared" si="195"/>
        <v>1.4169493049625417</v>
      </c>
      <c r="AT42" s="229">
        <f t="shared" si="196"/>
        <v>1.4088468892484189</v>
      </c>
      <c r="AU42" s="229">
        <f t="shared" si="197"/>
        <v>0.71583594344773449</v>
      </c>
      <c r="AV42" s="229">
        <f t="shared" si="198"/>
        <v>1.4</v>
      </c>
      <c r="AW42" s="229">
        <f t="shared" si="199"/>
        <v>1.4499999397455747</v>
      </c>
      <c r="AX42" s="229">
        <f t="shared" si="200"/>
        <v>1.42942817310388</v>
      </c>
      <c r="AY42" s="229">
        <f t="shared" si="90"/>
        <v>1.3444341266396185</v>
      </c>
      <c r="AZ42" s="229">
        <f t="shared" si="91"/>
        <v>0.23690773122715753</v>
      </c>
      <c r="BA42" s="229">
        <f t="shared" si="92"/>
        <v>17.621371440436643</v>
      </c>
      <c r="BC42" s="230">
        <f t="shared" si="93"/>
        <v>9.65</v>
      </c>
      <c r="BD42" s="230">
        <f t="shared" si="94"/>
        <v>11.73</v>
      </c>
      <c r="BE42" s="230">
        <f t="shared" si="95"/>
        <v>9.65</v>
      </c>
      <c r="BF42" s="230">
        <f t="shared" si="96"/>
        <v>9.2001230767409936</v>
      </c>
      <c r="BG42" s="230">
        <f t="shared" si="97"/>
        <v>10.057530769185249</v>
      </c>
      <c r="BH42" s="230">
        <f t="shared" si="98"/>
        <v>1.1349690061480548</v>
      </c>
      <c r="BI42" s="230">
        <f t="shared" si="99"/>
        <v>11.284767923608326</v>
      </c>
      <c r="BK42" s="227">
        <f t="shared" si="208"/>
        <v>19.600000000000001</v>
      </c>
      <c r="BL42" s="227">
        <f t="shared" si="209"/>
        <v>31.73</v>
      </c>
      <c r="BM42" s="227">
        <f t="shared" si="210"/>
        <v>40.516408438004866</v>
      </c>
      <c r="BN42" s="227">
        <f t="shared" si="211"/>
        <v>22.763643978907464</v>
      </c>
      <c r="BO42" s="227">
        <f t="shared" si="212"/>
        <v>19.600000000000001</v>
      </c>
      <c r="BP42" s="227">
        <f t="shared" si="213"/>
        <v>30.631638503080982</v>
      </c>
      <c r="BQ42" s="227">
        <f t="shared" si="214"/>
        <v>31.86</v>
      </c>
      <c r="BR42" s="227">
        <f t="shared" si="100"/>
        <v>28.100241559999045</v>
      </c>
      <c r="BS42" s="227">
        <f t="shared" si="101"/>
        <v>7.7552948276755949</v>
      </c>
      <c r="BT42" s="227">
        <f t="shared" si="215"/>
        <v>27.598676727090236</v>
      </c>
      <c r="BV42" s="231">
        <f t="shared" si="102"/>
        <v>0.26</v>
      </c>
      <c r="BW42" s="231">
        <f t="shared" si="103"/>
        <v>0.31490290005194627</v>
      </c>
      <c r="BX42" s="231">
        <f t="shared" si="104"/>
        <v>0.32061658983921837</v>
      </c>
      <c r="BY42" s="231">
        <f t="shared" si="105"/>
        <v>0.26</v>
      </c>
      <c r="BZ42" s="231">
        <f t="shared" si="106"/>
        <v>0.33246857857280393</v>
      </c>
      <c r="CA42" s="231">
        <f t="shared" si="107"/>
        <v>0.31431804877609559</v>
      </c>
      <c r="CB42" s="231">
        <f t="shared" si="108"/>
        <v>0.48</v>
      </c>
      <c r="CC42" s="231">
        <f t="shared" si="109"/>
        <v>0.46103096440318281</v>
      </c>
      <c r="CD42" s="231">
        <f t="shared" si="110"/>
        <v>0.34291713520540584</v>
      </c>
      <c r="CE42" s="231">
        <f t="shared" si="111"/>
        <v>8.3411443942968178E-2</v>
      </c>
      <c r="CF42" s="231">
        <f t="shared" si="216"/>
        <v>24.324081645265437</v>
      </c>
      <c r="CH42" s="232">
        <f t="shared" si="112"/>
        <v>1.4745866948221507</v>
      </c>
      <c r="CI42" s="232">
        <f t="shared" si="113"/>
        <v>1.52</v>
      </c>
      <c r="CJ42" s="232">
        <f t="shared" si="114"/>
        <v>2.1</v>
      </c>
      <c r="CK42" s="232">
        <f t="shared" si="115"/>
        <v>1.9551478016135946</v>
      </c>
      <c r="CL42" s="232">
        <f t="shared" si="116"/>
        <v>1.9097031133745934</v>
      </c>
      <c r="CM42" s="232">
        <f t="shared" si="117"/>
        <v>1.5162521221739225</v>
      </c>
      <c r="CN42" s="232">
        <f t="shared" si="118"/>
        <v>1.4774755980035803</v>
      </c>
      <c r="CO42" s="232">
        <f t="shared" si="119"/>
        <v>1.8575758935362348</v>
      </c>
      <c r="CP42" s="232">
        <f t="shared" si="120"/>
        <v>1.52</v>
      </c>
      <c r="CQ42" s="232">
        <f t="shared" si="121"/>
        <v>1.4858614480362113</v>
      </c>
      <c r="CR42" s="232">
        <f t="shared" si="122"/>
        <v>1.6816602671560286</v>
      </c>
      <c r="CS42" s="232">
        <f t="shared" si="123"/>
        <v>0.24387824155164761</v>
      </c>
      <c r="CT42" s="232">
        <f t="shared" si="217"/>
        <v>14.502230106446346</v>
      </c>
      <c r="CV42" s="229">
        <f t="shared" si="218"/>
        <v>0.83</v>
      </c>
      <c r="CW42" s="229">
        <f t="shared" si="219"/>
        <v>1.19</v>
      </c>
      <c r="CX42" s="229">
        <f t="shared" si="220"/>
        <v>0.72854630717981606</v>
      </c>
      <c r="CY42" s="229">
        <f t="shared" si="221"/>
        <v>0.52831856716937176</v>
      </c>
      <c r="CZ42" s="229">
        <f t="shared" si="222"/>
        <v>1.1870616215410699</v>
      </c>
      <c r="DA42" s="229">
        <f t="shared" si="223"/>
        <v>0.83</v>
      </c>
      <c r="DB42" s="229">
        <f t="shared" si="224"/>
        <v>0.53817018004948147</v>
      </c>
      <c r="DC42" s="229">
        <f t="shared" si="225"/>
        <v>0.89</v>
      </c>
      <c r="DD42" s="229">
        <f t="shared" si="226"/>
        <v>0.84026208449246731</v>
      </c>
      <c r="DE42" s="229">
        <f t="shared" si="227"/>
        <v>0.25250734107190975</v>
      </c>
      <c r="DF42" s="229">
        <f t="shared" si="228"/>
        <v>30.051021667177629</v>
      </c>
      <c r="DH42" s="234">
        <f t="shared" si="124"/>
        <v>5.6239999999999998E-2</v>
      </c>
      <c r="DI42" s="234">
        <f t="shared" si="125"/>
        <v>7.5999999999999998E-2</v>
      </c>
      <c r="DJ42" s="234">
        <f t="shared" si="126"/>
        <v>0.11313137683110633</v>
      </c>
      <c r="DK42" s="234">
        <f t="shared" si="229"/>
        <v>8.1790458943702113E-2</v>
      </c>
      <c r="DL42" s="234">
        <f t="shared" si="230"/>
        <v>2.8884325342973846E-2</v>
      </c>
      <c r="DM42" s="234">
        <f t="shared" si="231"/>
        <v>35.315030281044713</v>
      </c>
      <c r="DO42" s="229">
        <f t="shared" si="127"/>
        <v>2.38</v>
      </c>
      <c r="DP42" s="229">
        <f t="shared" si="128"/>
        <v>3.49</v>
      </c>
      <c r="DQ42" s="229">
        <f t="shared" si="129"/>
        <v>3.7946022731312836</v>
      </c>
      <c r="DR42" s="229">
        <f t="shared" si="130"/>
        <v>2.9720022226500746</v>
      </c>
      <c r="DS42" s="229">
        <f t="shared" si="131"/>
        <v>2.6435318581375946</v>
      </c>
      <c r="DT42" s="229">
        <f t="shared" si="132"/>
        <v>2.38</v>
      </c>
      <c r="DU42" s="229">
        <f t="shared" si="133"/>
        <v>1.7175999999999998</v>
      </c>
      <c r="DV42" s="229">
        <f t="shared" si="134"/>
        <v>3.3522716912307033</v>
      </c>
      <c r="DW42" s="229">
        <f t="shared" si="232"/>
        <v>2.841251005643707</v>
      </c>
      <c r="DX42" s="229">
        <f t="shared" si="233"/>
        <v>0.69025682000400079</v>
      </c>
      <c r="DY42" s="229">
        <f t="shared" si="234"/>
        <v>24.294116170409165</v>
      </c>
      <c r="EA42" s="235">
        <f t="shared" si="135"/>
        <v>0.14000000000000001</v>
      </c>
      <c r="EB42" s="235">
        <f t="shared" si="136"/>
        <v>0.21203709678030888</v>
      </c>
      <c r="EC42" s="235">
        <f t="shared" si="137"/>
        <v>0.14000000000000001</v>
      </c>
      <c r="ED42" s="235">
        <f t="shared" si="138"/>
        <v>0.16619961442704573</v>
      </c>
      <c r="EE42" s="235">
        <f t="shared" si="139"/>
        <v>0.14034547638214617</v>
      </c>
      <c r="EF42" s="235">
        <f t="shared" si="140"/>
        <v>0.15971643751790016</v>
      </c>
      <c r="EG42" s="235">
        <f t="shared" si="141"/>
        <v>3.1353599955211739E-2</v>
      </c>
      <c r="EH42" s="235">
        <f t="shared" si="235"/>
        <v>19.630790945795916</v>
      </c>
      <c r="EJ42" s="229">
        <f t="shared" si="142"/>
        <v>7.5426305676856105</v>
      </c>
      <c r="EK42" s="229">
        <f t="shared" si="143"/>
        <v>16.032479355728348</v>
      </c>
      <c r="EL42" s="229">
        <f t="shared" si="144"/>
        <v>6.91</v>
      </c>
      <c r="EM42" s="229">
        <f t="shared" si="145"/>
        <v>14.4</v>
      </c>
      <c r="EN42" s="229">
        <f t="shared" si="146"/>
        <v>19.693303336511043</v>
      </c>
      <c r="EO42" s="229">
        <f t="shared" si="236"/>
        <v>20.070754530123562</v>
      </c>
      <c r="EP42" s="229">
        <f t="shared" si="147"/>
        <v>20.111685037241191</v>
      </c>
      <c r="EQ42" s="229">
        <f t="shared" si="148"/>
        <v>14.965836118184251</v>
      </c>
      <c r="ER42" s="229">
        <f t="shared" si="149"/>
        <v>5.7205371820530297</v>
      </c>
      <c r="ES42" s="229">
        <f t="shared" si="237"/>
        <v>38.223973167140898</v>
      </c>
      <c r="EU42" s="238">
        <f t="shared" si="191"/>
        <v>1.582853470733769E-2</v>
      </c>
      <c r="EV42" s="238">
        <f t="shared" si="151"/>
        <v>1.582853470733769E-2</v>
      </c>
      <c r="EW42" s="238" t="e">
        <f t="shared" si="152"/>
        <v>#DIV/0!</v>
      </c>
      <c r="EX42" s="238" t="e">
        <f t="shared" si="238"/>
        <v>#DIV/0!</v>
      </c>
      <c r="EZ42" s="240">
        <f t="shared" si="153"/>
        <v>2.7066794349547396E-2</v>
      </c>
      <c r="FA42" s="240">
        <f t="shared" si="154"/>
        <v>2.7066794349547396E-2</v>
      </c>
      <c r="FB42" s="240" t="e">
        <f t="shared" si="155"/>
        <v>#DIV/0!</v>
      </c>
      <c r="FC42" s="240" t="e">
        <f t="shared" si="239"/>
        <v>#DIV/0!</v>
      </c>
      <c r="FE42" s="236">
        <f t="shared" si="156"/>
        <v>0.9</v>
      </c>
      <c r="FF42" s="236">
        <f t="shared" si="157"/>
        <v>1.2</v>
      </c>
      <c r="FG42" s="236">
        <f t="shared" si="158"/>
        <v>1.321732366361843</v>
      </c>
      <c r="FH42" s="236">
        <f t="shared" si="159"/>
        <v>1.3058541133553594</v>
      </c>
      <c r="FI42" s="236">
        <f t="shared" si="160"/>
        <v>0.9</v>
      </c>
      <c r="FJ42" s="236">
        <f t="shared" si="161"/>
        <v>1.1079974295136383</v>
      </c>
      <c r="FK42" s="236">
        <f t="shared" si="240"/>
        <v>1.1225973182051401</v>
      </c>
      <c r="FL42" s="236">
        <f t="shared" si="241"/>
        <v>0.18896628504375224</v>
      </c>
      <c r="FM42" s="236">
        <f t="shared" si="242"/>
        <v>16.832953542582853</v>
      </c>
      <c r="FO42" s="227">
        <f t="shared" si="162"/>
        <v>0.3</v>
      </c>
      <c r="FP42" s="227">
        <f t="shared" si="163"/>
        <v>0.32</v>
      </c>
      <c r="FQ42" s="227">
        <f t="shared" si="164"/>
        <v>0.3544512266897159</v>
      </c>
      <c r="FR42" s="227">
        <f t="shared" si="165"/>
        <v>0.3</v>
      </c>
      <c r="FS42" s="227">
        <f t="shared" si="166"/>
        <v>0.356142030915098</v>
      </c>
      <c r="FT42" s="227">
        <f t="shared" si="243"/>
        <v>0.32611865152096275</v>
      </c>
      <c r="FU42" s="227">
        <f t="shared" si="244"/>
        <v>2.7865498097643944E-2</v>
      </c>
      <c r="FV42" s="227">
        <f t="shared" si="245"/>
        <v>8.5445888996792831</v>
      </c>
      <c r="FX42" s="230">
        <f t="shared" si="167"/>
        <v>2.94</v>
      </c>
      <c r="FY42" s="230">
        <f t="shared" si="168"/>
        <v>1.6619961442704576</v>
      </c>
      <c r="FZ42" s="230">
        <f t="shared" si="169"/>
        <v>2.94</v>
      </c>
      <c r="GA42" s="230">
        <f t="shared" si="170"/>
        <v>3.9165116140807705</v>
      </c>
      <c r="GB42" s="230">
        <f t="shared" si="246"/>
        <v>2.864626939587807</v>
      </c>
      <c r="GC42" s="230">
        <f t="shared" si="247"/>
        <v>0.92450786813861241</v>
      </c>
      <c r="GD42" s="230">
        <f t="shared" si="248"/>
        <v>32.273237934138834</v>
      </c>
      <c r="GF42" s="231">
        <f t="shared" si="171"/>
        <v>0.06</v>
      </c>
      <c r="GG42" s="231">
        <f t="shared" si="172"/>
        <v>0.05</v>
      </c>
      <c r="GH42" s="231">
        <f t="shared" si="173"/>
        <v>0.06</v>
      </c>
      <c r="GI42" s="231">
        <f t="shared" si="174"/>
        <v>6.3314138829350761E-2</v>
      </c>
      <c r="GJ42" s="245">
        <f t="shared" si="187"/>
        <v>5.832853470733769E-2</v>
      </c>
      <c r="GK42" s="231">
        <f t="shared" si="188"/>
        <v>5.7679670387960078E-3</v>
      </c>
      <c r="GL42" s="231">
        <f t="shared" si="249"/>
        <v>9.8887569655858361</v>
      </c>
      <c r="GN42" s="246">
        <f t="shared" si="175"/>
        <v>0.18</v>
      </c>
      <c r="GO42" s="246">
        <f t="shared" si="176"/>
        <v>0.18</v>
      </c>
      <c r="GP42" s="246">
        <f t="shared" si="177"/>
        <v>0.16619961442704573</v>
      </c>
      <c r="GQ42" s="247">
        <f t="shared" si="189"/>
        <v>0.17539987147568192</v>
      </c>
      <c r="GR42" s="246">
        <f t="shared" si="190"/>
        <v>7.9676563254657724E-3</v>
      </c>
      <c r="GS42" s="246">
        <f t="shared" si="250"/>
        <v>4.5425667980437696</v>
      </c>
      <c r="GU42" s="249">
        <f t="shared" si="178"/>
        <v>2.1685092549052633E-2</v>
      </c>
      <c r="GV42" s="249">
        <f t="shared" si="179"/>
        <v>2.1685092549052633E-2</v>
      </c>
      <c r="GW42" s="249" t="e">
        <f t="shared" si="180"/>
        <v>#DIV/0!</v>
      </c>
      <c r="GX42" s="249" t="e">
        <f t="shared" si="251"/>
        <v>#DIV/0!</v>
      </c>
      <c r="GZ42" s="240">
        <f t="shared" si="181"/>
        <v>2.3742802061006537E-2</v>
      </c>
      <c r="HA42" s="240">
        <f t="shared" si="182"/>
        <v>2.3742802061006537E-2</v>
      </c>
      <c r="HB42" s="240" t="e">
        <f t="shared" si="183"/>
        <v>#DIV/0!</v>
      </c>
      <c r="HC42" s="240" t="e">
        <f t="shared" si="252"/>
        <v>#DIV/0!</v>
      </c>
      <c r="HE42" s="234">
        <f t="shared" si="184"/>
        <v>9.3749581508659238E-2</v>
      </c>
      <c r="HF42" s="251">
        <f t="shared" si="185"/>
        <v>9.3749581508659238E-2</v>
      </c>
      <c r="HG42" s="234" t="e">
        <f t="shared" si="186"/>
        <v>#DIV/0!</v>
      </c>
      <c r="HH42" s="234" t="e">
        <f t="shared" si="253"/>
        <v>#DIV/0!</v>
      </c>
    </row>
    <row r="43" spans="2:216" ht="15.6" x14ac:dyDescent="0.25">
      <c r="B43">
        <v>39</v>
      </c>
      <c r="C43" s="124">
        <f t="shared" si="52"/>
        <v>79.315720975129921</v>
      </c>
      <c r="D43" s="124">
        <f t="shared" si="53"/>
        <v>175.53483072674163</v>
      </c>
      <c r="E43" s="29">
        <f t="shared" si="201"/>
        <v>2.0030652862235345</v>
      </c>
      <c r="F43" s="29">
        <f t="shared" si="202"/>
        <v>1.9532481069180474</v>
      </c>
      <c r="G43" s="29">
        <f t="shared" si="203"/>
        <v>1.9777635047971893</v>
      </c>
      <c r="H43" s="29">
        <f t="shared" si="204"/>
        <v>2.0030652862235345</v>
      </c>
      <c r="I43" s="29">
        <f t="shared" si="205"/>
        <v>1.9665728547780006</v>
      </c>
      <c r="J43" s="125">
        <f t="shared" si="206"/>
        <v>1.9807430077880614</v>
      </c>
      <c r="K43" s="126">
        <f t="shared" si="207"/>
        <v>2.2148411214772408E-2</v>
      </c>
      <c r="L43" s="126">
        <f t="shared" si="55"/>
        <v>1.1181870201074706</v>
      </c>
      <c r="N43" s="138">
        <f t="shared" si="56"/>
        <v>415.95603163549288</v>
      </c>
      <c r="O43" s="138">
        <f t="shared" si="57"/>
        <v>325.79239999999999</v>
      </c>
      <c r="P43" s="138">
        <f t="shared" si="58"/>
        <v>369.34121876194553</v>
      </c>
      <c r="Q43" s="138">
        <f t="shared" si="59"/>
        <v>421.31012007337443</v>
      </c>
      <c r="R43" s="138">
        <f t="shared" si="60"/>
        <v>415.95603163549288</v>
      </c>
      <c r="S43" s="138">
        <f t="shared" si="61"/>
        <v>392.76030000000003</v>
      </c>
      <c r="T43" s="138">
        <f t="shared" si="62"/>
        <v>390.18601701771763</v>
      </c>
      <c r="U43" s="138">
        <f t="shared" si="63"/>
        <v>37.106785249172546</v>
      </c>
      <c r="V43" s="138">
        <f t="shared" si="64"/>
        <v>9.5100243552519714</v>
      </c>
      <c r="X43" s="227">
        <f t="shared" si="65"/>
        <v>0.45007408785000003</v>
      </c>
      <c r="Y43" s="227">
        <f t="shared" si="66"/>
        <v>0.47</v>
      </c>
      <c r="Z43" s="227">
        <f t="shared" si="67"/>
        <v>0.45007408785000003</v>
      </c>
      <c r="AA43" s="227">
        <f t="shared" si="68"/>
        <v>0.45671605856666669</v>
      </c>
      <c r="AB43" s="227">
        <f t="shared" si="69"/>
        <v>1.1504230743651304E-2</v>
      </c>
      <c r="AC43" s="227">
        <f t="shared" si="70"/>
        <v>2.5189021773737426</v>
      </c>
      <c r="AE43" s="228">
        <f t="shared" si="71"/>
        <v>4.4210736364222587</v>
      </c>
      <c r="AF43" s="228">
        <f t="shared" si="72"/>
        <v>5.2850000000000001</v>
      </c>
      <c r="AG43" s="228">
        <f t="shared" si="73"/>
        <v>4.4210736364222587</v>
      </c>
      <c r="AH43" s="228">
        <f t="shared" si="74"/>
        <v>7.1124186535402529</v>
      </c>
      <c r="AI43" s="228">
        <f t="shared" si="75"/>
        <v>5.2850000000000001</v>
      </c>
      <c r="AJ43" s="228">
        <f t="shared" si="76"/>
        <v>6.0359263658555751</v>
      </c>
      <c r="AK43" s="228">
        <f t="shared" si="77"/>
        <v>5.4583719018247585</v>
      </c>
      <c r="AL43" s="228">
        <f t="shared" si="78"/>
        <v>5.431266313437872</v>
      </c>
      <c r="AM43" s="228">
        <f t="shared" si="79"/>
        <v>0.93776221584762409</v>
      </c>
      <c r="AN43" s="228">
        <f t="shared" si="80"/>
        <v>17.265995842027515</v>
      </c>
      <c r="AP43" s="229">
        <f t="shared" si="192"/>
        <v>1.4097461273666092</v>
      </c>
      <c r="AQ43" s="229">
        <f t="shared" si="193"/>
        <v>1.4</v>
      </c>
      <c r="AR43" s="229">
        <f t="shared" si="194"/>
        <v>1.47</v>
      </c>
      <c r="AS43" s="229">
        <f t="shared" si="195"/>
        <v>1.4105697793762981</v>
      </c>
      <c r="AT43" s="229">
        <f t="shared" si="196"/>
        <v>1.4097461273666092</v>
      </c>
      <c r="AU43" s="229">
        <f t="shared" si="197"/>
        <v>0.73349910343249936</v>
      </c>
      <c r="AV43" s="229">
        <f t="shared" si="198"/>
        <v>1.4</v>
      </c>
      <c r="AW43" s="229">
        <f t="shared" si="199"/>
        <v>1.4499999611939556</v>
      </c>
      <c r="AX43" s="229">
        <f t="shared" si="200"/>
        <v>1.4271574378024274</v>
      </c>
      <c r="AY43" s="229">
        <f t="shared" si="90"/>
        <v>1.345635392948711</v>
      </c>
      <c r="AZ43" s="229">
        <f t="shared" si="91"/>
        <v>0.2307766960200528</v>
      </c>
      <c r="BA43" s="229">
        <f t="shared" si="92"/>
        <v>17.150016804652289</v>
      </c>
      <c r="BC43" s="230">
        <f t="shared" si="93"/>
        <v>9.65</v>
      </c>
      <c r="BD43" s="230">
        <f t="shared" si="94"/>
        <v>11.73</v>
      </c>
      <c r="BE43" s="230">
        <f t="shared" si="95"/>
        <v>9.65</v>
      </c>
      <c r="BF43" s="230">
        <f t="shared" si="96"/>
        <v>9.2001230768560909</v>
      </c>
      <c r="BG43" s="230">
        <f t="shared" si="97"/>
        <v>10.057530769214022</v>
      </c>
      <c r="BH43" s="230">
        <f t="shared" si="98"/>
        <v>1.1349690061190716</v>
      </c>
      <c r="BI43" s="230">
        <f t="shared" si="99"/>
        <v>11.284767923287868</v>
      </c>
      <c r="BK43" s="227">
        <f t="shared" si="208"/>
        <v>19.600000000000001</v>
      </c>
      <c r="BL43" s="227">
        <f t="shared" si="209"/>
        <v>31.73</v>
      </c>
      <c r="BM43" s="227">
        <f t="shared" si="210"/>
        <v>40.498024894983793</v>
      </c>
      <c r="BN43" s="227">
        <f t="shared" si="211"/>
        <v>22.780002170908816</v>
      </c>
      <c r="BO43" s="227">
        <f t="shared" si="212"/>
        <v>19.600000000000001</v>
      </c>
      <c r="BP43" s="227">
        <f t="shared" si="213"/>
        <v>30.594762021527057</v>
      </c>
      <c r="BQ43" s="227">
        <f t="shared" si="214"/>
        <v>31.86</v>
      </c>
      <c r="BR43" s="227">
        <f t="shared" si="100"/>
        <v>28.094684155345671</v>
      </c>
      <c r="BS43" s="227">
        <f t="shared" si="101"/>
        <v>7.7465211324696623</v>
      </c>
      <c r="BT43" s="227">
        <f t="shared" si="215"/>
        <v>27.572906994206964</v>
      </c>
      <c r="BV43" s="231">
        <f t="shared" si="102"/>
        <v>0.26</v>
      </c>
      <c r="BW43" s="231">
        <f t="shared" si="103"/>
        <v>0.31501253913392985</v>
      </c>
      <c r="BX43" s="231">
        <f t="shared" si="104"/>
        <v>0.32112364034922641</v>
      </c>
      <c r="BY43" s="231">
        <f t="shared" si="105"/>
        <v>0.26</v>
      </c>
      <c r="BZ43" s="231">
        <f t="shared" si="106"/>
        <v>0.33318191590221363</v>
      </c>
      <c r="CA43" s="231">
        <f t="shared" si="107"/>
        <v>0.31378221436319009</v>
      </c>
      <c r="CB43" s="231">
        <f t="shared" si="108"/>
        <v>0.48</v>
      </c>
      <c r="CC43" s="231">
        <f t="shared" si="109"/>
        <v>0.45911100036241109</v>
      </c>
      <c r="CD43" s="231">
        <f t="shared" si="110"/>
        <v>0.34277641376387136</v>
      </c>
      <c r="CE43" s="231">
        <f t="shared" si="111"/>
        <v>8.301489653661101E-2</v>
      </c>
      <c r="CF43" s="231">
        <f t="shared" si="216"/>
        <v>24.218380612908081</v>
      </c>
      <c r="CH43" s="232">
        <f t="shared" si="112"/>
        <v>1.4740612208857193</v>
      </c>
      <c r="CI43" s="232">
        <f t="shared" si="113"/>
        <v>1.52</v>
      </c>
      <c r="CJ43" s="232">
        <f t="shared" si="114"/>
        <v>2.1</v>
      </c>
      <c r="CK43" s="232">
        <f t="shared" si="115"/>
        <v>1.9593592252234673</v>
      </c>
      <c r="CL43" s="232">
        <f t="shared" si="116"/>
        <v>1.9098089928530602</v>
      </c>
      <c r="CM43" s="232">
        <f t="shared" si="117"/>
        <v>1.5188374528951769</v>
      </c>
      <c r="CN43" s="232">
        <f t="shared" si="118"/>
        <v>1.476949094596768</v>
      </c>
      <c r="CO43" s="232">
        <f t="shared" si="119"/>
        <v>1.8614543077701333</v>
      </c>
      <c r="CP43" s="232">
        <f t="shared" si="120"/>
        <v>1.52</v>
      </c>
      <c r="CQ43" s="232">
        <f t="shared" si="121"/>
        <v>1.4846384334678371</v>
      </c>
      <c r="CR43" s="232">
        <f t="shared" si="122"/>
        <v>1.6825108727692164</v>
      </c>
      <c r="CS43" s="232">
        <f t="shared" si="123"/>
        <v>0.24474393196351657</v>
      </c>
      <c r="CT43" s="232">
        <f t="shared" si="217"/>
        <v>14.546350690780182</v>
      </c>
      <c r="CV43" s="229">
        <f t="shared" si="218"/>
        <v>0.83</v>
      </c>
      <c r="CW43" s="229">
        <f t="shared" si="219"/>
        <v>1.19</v>
      </c>
      <c r="CX43" s="229">
        <f t="shared" si="220"/>
        <v>0.73194961906708322</v>
      </c>
      <c r="CY43" s="229">
        <f t="shared" si="221"/>
        <v>0.52634490793247624</v>
      </c>
      <c r="CZ43" s="229">
        <f t="shared" si="222"/>
        <v>1.1890326566193044</v>
      </c>
      <c r="DA43" s="229">
        <f t="shared" si="223"/>
        <v>0.83</v>
      </c>
      <c r="DB43" s="229">
        <f t="shared" si="224"/>
        <v>0.53934690263088347</v>
      </c>
      <c r="DC43" s="229">
        <f t="shared" si="225"/>
        <v>0.89</v>
      </c>
      <c r="DD43" s="229">
        <f t="shared" si="226"/>
        <v>0.84083426078121837</v>
      </c>
      <c r="DE43" s="229">
        <f t="shared" si="227"/>
        <v>0.25283108816972227</v>
      </c>
      <c r="DF43" s="229">
        <f t="shared" si="228"/>
        <v>30.069075436438226</v>
      </c>
      <c r="DH43" s="234">
        <f t="shared" si="124"/>
        <v>5.772E-2</v>
      </c>
      <c r="DI43" s="234">
        <f t="shared" si="125"/>
        <v>7.8E-2</v>
      </c>
      <c r="DJ43" s="234">
        <f t="shared" si="126"/>
        <v>0.11293872561117191</v>
      </c>
      <c r="DK43" s="234">
        <f t="shared" si="229"/>
        <v>8.2886241870390634E-2</v>
      </c>
      <c r="DL43" s="234">
        <f t="shared" si="230"/>
        <v>2.7931763894219801E-2</v>
      </c>
      <c r="DM43" s="234">
        <f t="shared" si="231"/>
        <v>33.698914637602648</v>
      </c>
      <c r="DO43" s="229">
        <f t="shared" si="127"/>
        <v>2.38</v>
      </c>
      <c r="DP43" s="229">
        <f t="shared" si="128"/>
        <v>3.49</v>
      </c>
      <c r="DQ43" s="229">
        <f t="shared" si="129"/>
        <v>3.7934665051712186</v>
      </c>
      <c r="DR43" s="229">
        <f t="shared" si="130"/>
        <v>2.9711145116820923</v>
      </c>
      <c r="DS43" s="229">
        <f t="shared" si="131"/>
        <v>2.6480874311156275</v>
      </c>
      <c r="DT43" s="229">
        <f t="shared" si="132"/>
        <v>2.38</v>
      </c>
      <c r="DU43" s="229">
        <f t="shared" si="133"/>
        <v>1.7627999999999999</v>
      </c>
      <c r="DV43" s="229">
        <f t="shared" si="134"/>
        <v>3.3490196754369279</v>
      </c>
      <c r="DW43" s="229">
        <f t="shared" si="232"/>
        <v>2.8468110154257329</v>
      </c>
      <c r="DX43" s="229">
        <f t="shared" si="233"/>
        <v>0.67906548982361881</v>
      </c>
      <c r="DY43" s="229">
        <f t="shared" si="234"/>
        <v>23.853550029982106</v>
      </c>
      <c r="EA43" s="235">
        <f t="shared" si="135"/>
        <v>0.14000000000000001</v>
      </c>
      <c r="EB43" s="235">
        <f t="shared" si="136"/>
        <v>0.21242427082491339</v>
      </c>
      <c r="EC43" s="235">
        <f t="shared" si="137"/>
        <v>0.14000000000000001</v>
      </c>
      <c r="ED43" s="235">
        <f t="shared" si="138"/>
        <v>0.16656301404777282</v>
      </c>
      <c r="EE43" s="235">
        <f t="shared" si="139"/>
        <v>0.14012581926302264</v>
      </c>
      <c r="EF43" s="235">
        <f t="shared" si="140"/>
        <v>0.15982262082714177</v>
      </c>
      <c r="EG43" s="235">
        <f t="shared" si="141"/>
        <v>3.1568192330359825E-2</v>
      </c>
      <c r="EH43" s="235">
        <f t="shared" si="235"/>
        <v>19.752017684970149</v>
      </c>
      <c r="EJ43" s="229">
        <f t="shared" si="142"/>
        <v>7.5426305676856105</v>
      </c>
      <c r="EK43" s="229">
        <f t="shared" si="143"/>
        <v>16.090092562148389</v>
      </c>
      <c r="EL43" s="229">
        <f t="shared" si="144"/>
        <v>6.91</v>
      </c>
      <c r="EM43" s="229">
        <f t="shared" si="145"/>
        <v>14.4</v>
      </c>
      <c r="EN43" s="229">
        <f t="shared" si="146"/>
        <v>19.882228037513961</v>
      </c>
      <c r="EO43" s="229">
        <f t="shared" si="236"/>
        <v>20.252207368545822</v>
      </c>
      <c r="EP43" s="229">
        <f t="shared" si="147"/>
        <v>20.230935102641947</v>
      </c>
      <c r="EQ43" s="229">
        <f t="shared" si="148"/>
        <v>15.044013376933677</v>
      </c>
      <c r="ER43" s="229">
        <f t="shared" si="149"/>
        <v>5.7933829395148528</v>
      </c>
      <c r="ES43" s="229">
        <f t="shared" si="237"/>
        <v>38.509557219601994</v>
      </c>
      <c r="EU43" s="238">
        <f t="shared" si="191"/>
        <v>1.5863144195025984E-2</v>
      </c>
      <c r="EV43" s="238">
        <f t="shared" si="151"/>
        <v>1.5863144195025984E-2</v>
      </c>
      <c r="EW43" s="238" t="e">
        <f t="shared" si="152"/>
        <v>#DIV/0!</v>
      </c>
      <c r="EX43" s="238" t="e">
        <f t="shared" si="238"/>
        <v>#DIV/0!</v>
      </c>
      <c r="EZ43" s="240">
        <f t="shared" si="153"/>
        <v>2.7125976573494422E-2</v>
      </c>
      <c r="FA43" s="240">
        <f t="shared" si="154"/>
        <v>2.7125976573494422E-2</v>
      </c>
      <c r="FB43" s="240" t="e">
        <f t="shared" si="155"/>
        <v>#DIV/0!</v>
      </c>
      <c r="FC43" s="240" t="e">
        <f t="shared" si="239"/>
        <v>#DIV/0!</v>
      </c>
      <c r="FE43" s="236">
        <f t="shared" si="156"/>
        <v>0.9</v>
      </c>
      <c r="FF43" s="236">
        <f t="shared" si="157"/>
        <v>1.2</v>
      </c>
      <c r="FG43" s="236">
        <f t="shared" si="158"/>
        <v>1.3234510197297531</v>
      </c>
      <c r="FH43" s="236">
        <f t="shared" si="159"/>
        <v>1.3087093960896437</v>
      </c>
      <c r="FI43" s="236">
        <f t="shared" si="160"/>
        <v>0.9</v>
      </c>
      <c r="FJ43" s="236">
        <f t="shared" si="161"/>
        <v>1.1104200936518189</v>
      </c>
      <c r="FK43" s="236">
        <f t="shared" si="240"/>
        <v>1.1237634182452028</v>
      </c>
      <c r="FL43" s="236">
        <f t="shared" si="241"/>
        <v>0.18984749053169031</v>
      </c>
      <c r="FM43" s="236">
        <f t="shared" si="242"/>
        <v>16.89390199479389</v>
      </c>
      <c r="FO43" s="227">
        <f t="shared" si="162"/>
        <v>0.3</v>
      </c>
      <c r="FP43" s="227">
        <f t="shared" si="163"/>
        <v>0.32</v>
      </c>
      <c r="FQ43" s="227">
        <f t="shared" si="164"/>
        <v>0.35394414577891947</v>
      </c>
      <c r="FR43" s="227">
        <f t="shared" si="165"/>
        <v>0.3</v>
      </c>
      <c r="FS43" s="227">
        <f t="shared" si="166"/>
        <v>0.35692074438808463</v>
      </c>
      <c r="FT43" s="227">
        <f t="shared" si="243"/>
        <v>0.32617297803340084</v>
      </c>
      <c r="FU43" s="227">
        <f t="shared" si="244"/>
        <v>2.7950036269326087E-2</v>
      </c>
      <c r="FV43" s="227">
        <f t="shared" si="245"/>
        <v>8.56908393756148</v>
      </c>
      <c r="FX43" s="230">
        <f t="shared" si="167"/>
        <v>2.94</v>
      </c>
      <c r="FY43" s="230">
        <f t="shared" si="168"/>
        <v>1.6656301404777285</v>
      </c>
      <c r="FZ43" s="230">
        <f t="shared" si="169"/>
        <v>2.94</v>
      </c>
      <c r="GA43" s="230">
        <f t="shared" si="170"/>
        <v>3.9293887167775994</v>
      </c>
      <c r="GB43" s="230">
        <f t="shared" si="246"/>
        <v>2.8687547143138321</v>
      </c>
      <c r="GC43" s="230">
        <f t="shared" si="247"/>
        <v>0.92782990697211065</v>
      </c>
      <c r="GD43" s="230">
        <f t="shared" si="248"/>
        <v>32.342601559577226</v>
      </c>
      <c r="GF43" s="231">
        <f t="shared" si="171"/>
        <v>0.06</v>
      </c>
      <c r="GG43" s="231">
        <f t="shared" si="172"/>
        <v>0.05</v>
      </c>
      <c r="GH43" s="231">
        <f t="shared" si="173"/>
        <v>0.06</v>
      </c>
      <c r="GI43" s="231">
        <f t="shared" si="174"/>
        <v>6.3452576780103936E-2</v>
      </c>
      <c r="GJ43" s="245">
        <f t="shared" si="187"/>
        <v>5.836314419502598E-2</v>
      </c>
      <c r="GK43" s="231">
        <f t="shared" si="188"/>
        <v>5.808129323554595E-3</v>
      </c>
      <c r="GL43" s="231">
        <f t="shared" si="249"/>
        <v>9.9517073722864904</v>
      </c>
      <c r="GN43" s="246">
        <f t="shared" si="175"/>
        <v>0.18</v>
      </c>
      <c r="GO43" s="246">
        <f t="shared" si="176"/>
        <v>0.18</v>
      </c>
      <c r="GP43" s="246">
        <f t="shared" si="177"/>
        <v>0.16656301404777282</v>
      </c>
      <c r="GQ43" s="247">
        <f t="shared" si="189"/>
        <v>0.17552100468259094</v>
      </c>
      <c r="GR43" s="246">
        <f t="shared" si="190"/>
        <v>7.757847456615577E-3</v>
      </c>
      <c r="GS43" s="246">
        <f t="shared" si="250"/>
        <v>4.4198969067233467</v>
      </c>
      <c r="GU43" s="249">
        <f t="shared" si="178"/>
        <v>2.1732507547185597E-2</v>
      </c>
      <c r="GV43" s="249">
        <f t="shared" si="179"/>
        <v>2.1732507547185597E-2</v>
      </c>
      <c r="GW43" s="249" t="e">
        <f t="shared" si="180"/>
        <v>#DIV/0!</v>
      </c>
      <c r="GX43" s="249" t="e">
        <f t="shared" si="251"/>
        <v>#DIV/0!</v>
      </c>
      <c r="GZ43" s="240">
        <f t="shared" si="181"/>
        <v>2.379471629253898E-2</v>
      </c>
      <c r="HA43" s="240">
        <f t="shared" si="182"/>
        <v>2.379471629253898E-2</v>
      </c>
      <c r="HB43" s="240" t="e">
        <f t="shared" si="183"/>
        <v>#DIV/0!</v>
      </c>
      <c r="HC43" s="240" t="e">
        <f t="shared" si="252"/>
        <v>#DIV/0!</v>
      </c>
      <c r="HE43" s="234">
        <f t="shared" si="184"/>
        <v>9.3955507960404583E-2</v>
      </c>
      <c r="HF43" s="251">
        <f t="shared" si="185"/>
        <v>9.3955507960404583E-2</v>
      </c>
      <c r="HG43" s="234" t="e">
        <f t="shared" si="186"/>
        <v>#DIV/0!</v>
      </c>
      <c r="HH43" s="234" t="e">
        <f t="shared" si="253"/>
        <v>#DIV/0!</v>
      </c>
    </row>
    <row r="44" spans="2:216" ht="15.6" x14ac:dyDescent="0.25">
      <c r="B44">
        <v>40</v>
      </c>
      <c r="C44" s="124">
        <f t="shared" si="52"/>
        <v>79.482303949868083</v>
      </c>
      <c r="D44" s="124">
        <f t="shared" si="53"/>
        <v>175.09868325580806</v>
      </c>
      <c r="E44" s="29">
        <f t="shared" si="201"/>
        <v>2.0031576744650916</v>
      </c>
      <c r="F44" s="29">
        <f t="shared" si="202"/>
        <v>1.9514676307907448</v>
      </c>
      <c r="G44" s="29">
        <f t="shared" si="203"/>
        <v>1.9778241371938936</v>
      </c>
      <c r="H44" s="29">
        <f t="shared" si="204"/>
        <v>2.0031576744650916</v>
      </c>
      <c r="I44" s="29">
        <f t="shared" si="205"/>
        <v>1.9661896853615548</v>
      </c>
      <c r="J44" s="125">
        <f t="shared" si="206"/>
        <v>1.9803593604552752</v>
      </c>
      <c r="K44" s="126">
        <f t="shared" si="207"/>
        <v>2.2811539490109712E-2</v>
      </c>
      <c r="L44" s="126">
        <f t="shared" si="55"/>
        <v>1.1518888917648487</v>
      </c>
      <c r="N44" s="138">
        <f t="shared" si="56"/>
        <v>415.87546569560783</v>
      </c>
      <c r="O44" s="138">
        <f t="shared" si="57"/>
        <v>325.79239999999999</v>
      </c>
      <c r="P44" s="138">
        <f t="shared" si="58"/>
        <v>367.65937515808031</v>
      </c>
      <c r="Q44" s="138">
        <f t="shared" si="59"/>
        <v>421.98323907132368</v>
      </c>
      <c r="R44" s="138">
        <f t="shared" si="60"/>
        <v>415.87546569560783</v>
      </c>
      <c r="S44" s="138">
        <f t="shared" si="61"/>
        <v>392.15999999999997</v>
      </c>
      <c r="T44" s="138">
        <f t="shared" si="62"/>
        <v>389.89099093676992</v>
      </c>
      <c r="U44" s="138">
        <f t="shared" si="63"/>
        <v>37.385346727440698</v>
      </c>
      <c r="V44" s="138">
        <f t="shared" si="64"/>
        <v>9.588666472548379</v>
      </c>
      <c r="X44" s="227">
        <f t="shared" si="65"/>
        <v>0.44989099999999999</v>
      </c>
      <c r="Y44" s="227">
        <f t="shared" si="66"/>
        <v>0.47</v>
      </c>
      <c r="Z44" s="227">
        <f t="shared" si="67"/>
        <v>0.44989099999999999</v>
      </c>
      <c r="AA44" s="227">
        <f t="shared" si="68"/>
        <v>0.456594</v>
      </c>
      <c r="AB44" s="227">
        <f t="shared" si="69"/>
        <v>1.1609936563134178E-2</v>
      </c>
      <c r="AC44" s="227">
        <f t="shared" si="70"/>
        <v>2.5427264841706587</v>
      </c>
      <c r="AE44" s="228">
        <f t="shared" si="71"/>
        <v>4.4200390616731022</v>
      </c>
      <c r="AF44" s="228">
        <f t="shared" si="72"/>
        <v>5.2850000000000001</v>
      </c>
      <c r="AG44" s="228">
        <f t="shared" si="73"/>
        <v>4.4200390616731022</v>
      </c>
      <c r="AH44" s="228">
        <f t="shared" si="74"/>
        <v>7.1273518898681241</v>
      </c>
      <c r="AI44" s="228">
        <f t="shared" si="75"/>
        <v>5.2850000000000001</v>
      </c>
      <c r="AJ44" s="228">
        <f t="shared" si="76"/>
        <v>6.0486033303899234</v>
      </c>
      <c r="AK44" s="228">
        <f t="shared" si="77"/>
        <v>5.4571666701094959</v>
      </c>
      <c r="AL44" s="228">
        <f t="shared" si="78"/>
        <v>5.4347428591019638</v>
      </c>
      <c r="AM44" s="228">
        <f t="shared" si="79"/>
        <v>0.94395853345352443</v>
      </c>
      <c r="AN44" s="228">
        <f t="shared" si="80"/>
        <v>17.368964050849389</v>
      </c>
      <c r="AP44" s="229">
        <f t="shared" si="192"/>
        <v>1.4106018194541636</v>
      </c>
      <c r="AQ44" s="229">
        <f t="shared" si="193"/>
        <v>1.4</v>
      </c>
      <c r="AR44" s="229">
        <f t="shared" si="194"/>
        <v>1.47</v>
      </c>
      <c r="AS44" s="229">
        <f t="shared" si="195"/>
        <v>1.4046721786327321</v>
      </c>
      <c r="AT44" s="229">
        <f t="shared" si="196"/>
        <v>1.4106018194541636</v>
      </c>
      <c r="AU44" s="229">
        <f t="shared" si="197"/>
        <v>0.75115677464565644</v>
      </c>
      <c r="AV44" s="229">
        <f t="shared" si="198"/>
        <v>1.4</v>
      </c>
      <c r="AW44" s="229">
        <f t="shared" si="199"/>
        <v>1.4499999750074941</v>
      </c>
      <c r="AX44" s="229">
        <f t="shared" si="200"/>
        <v>1.4248903097048244</v>
      </c>
      <c r="AY44" s="229">
        <f t="shared" si="90"/>
        <v>1.3468803196554484</v>
      </c>
      <c r="AZ44" s="229">
        <f t="shared" si="91"/>
        <v>0.22468544082551942</v>
      </c>
      <c r="BA44" s="229">
        <f t="shared" si="92"/>
        <v>16.681915798056743</v>
      </c>
      <c r="BC44" s="230">
        <f t="shared" si="93"/>
        <v>9.65</v>
      </c>
      <c r="BD44" s="230">
        <f t="shared" si="94"/>
        <v>11.73</v>
      </c>
      <c r="BE44" s="230">
        <f t="shared" si="95"/>
        <v>9.65</v>
      </c>
      <c r="BF44" s="230">
        <f t="shared" si="96"/>
        <v>9.2001230768984339</v>
      </c>
      <c r="BG44" s="230">
        <f t="shared" si="97"/>
        <v>10.057530769224609</v>
      </c>
      <c r="BH44" s="230">
        <f t="shared" si="98"/>
        <v>1.134969006108409</v>
      </c>
      <c r="BI44" s="230">
        <f t="shared" si="99"/>
        <v>11.284767923169973</v>
      </c>
      <c r="BK44" s="227">
        <f t="shared" si="208"/>
        <v>19.600000000000001</v>
      </c>
      <c r="BL44" s="227">
        <f t="shared" si="209"/>
        <v>31.73</v>
      </c>
      <c r="BM44" s="227">
        <f t="shared" si="210"/>
        <v>40.484403766826176</v>
      </c>
      <c r="BN44" s="227">
        <f t="shared" si="211"/>
        <v>22.795666180345737</v>
      </c>
      <c r="BO44" s="227">
        <f t="shared" si="212"/>
        <v>19.600000000000001</v>
      </c>
      <c r="BP44" s="227">
        <f t="shared" si="213"/>
        <v>30.545676698330208</v>
      </c>
      <c r="BQ44" s="227">
        <f t="shared" si="214"/>
        <v>31.86</v>
      </c>
      <c r="BR44" s="227">
        <f t="shared" si="100"/>
        <v>28.087963806500301</v>
      </c>
      <c r="BS44" s="227">
        <f t="shared" si="101"/>
        <v>7.7384778257008682</v>
      </c>
      <c r="BT44" s="227">
        <f t="shared" si="215"/>
        <v>27.550867976802145</v>
      </c>
      <c r="BV44" s="231">
        <f t="shared" si="102"/>
        <v>0.26</v>
      </c>
      <c r="BW44" s="231">
        <f t="shared" si="103"/>
        <v>0.31509954612848823</v>
      </c>
      <c r="BX44" s="231">
        <f t="shared" si="104"/>
        <v>0.32161244700746677</v>
      </c>
      <c r="BY44" s="231">
        <f t="shared" si="105"/>
        <v>0.26</v>
      </c>
      <c r="BZ44" s="231">
        <f t="shared" si="106"/>
        <v>0.33387071178367161</v>
      </c>
      <c r="CA44" s="231">
        <f t="shared" si="107"/>
        <v>0.31332588248785076</v>
      </c>
      <c r="CB44" s="231">
        <f t="shared" si="108"/>
        <v>0.48</v>
      </c>
      <c r="CC44" s="231">
        <f t="shared" si="109"/>
        <v>0.45739406880815187</v>
      </c>
      <c r="CD44" s="231">
        <f t="shared" si="110"/>
        <v>0.34266283202695369</v>
      </c>
      <c r="CE44" s="231">
        <f t="shared" si="111"/>
        <v>8.2662699675293105E-2</v>
      </c>
      <c r="CF44" s="231">
        <f t="shared" si="216"/>
        <v>24.123625893803066</v>
      </c>
      <c r="CH44" s="232">
        <f t="shared" si="112"/>
        <v>1.47372057508754</v>
      </c>
      <c r="CI44" s="232">
        <f t="shared" si="113"/>
        <v>1.52</v>
      </c>
      <c r="CJ44" s="232">
        <f t="shared" si="114"/>
        <v>2.1</v>
      </c>
      <c r="CK44" s="232">
        <f t="shared" si="115"/>
        <v>1.9634231583244091</v>
      </c>
      <c r="CL44" s="232">
        <f t="shared" si="116"/>
        <v>1.9097438284399544</v>
      </c>
      <c r="CM44" s="232">
        <f t="shared" si="117"/>
        <v>1.5213250324423151</v>
      </c>
      <c r="CN44" s="232">
        <f t="shared" si="118"/>
        <v>1.4766077814300753</v>
      </c>
      <c r="CO44" s="232">
        <f t="shared" si="119"/>
        <v>1.8651849733929835</v>
      </c>
      <c r="CP44" s="232">
        <f t="shared" si="120"/>
        <v>1.52</v>
      </c>
      <c r="CQ44" s="232">
        <f t="shared" si="121"/>
        <v>1.4836541036729356</v>
      </c>
      <c r="CR44" s="232">
        <f t="shared" si="122"/>
        <v>1.6833659452790211</v>
      </c>
      <c r="CS44" s="232">
        <f t="shared" si="123"/>
        <v>0.24552441470047723</v>
      </c>
      <c r="CT44" s="232">
        <f t="shared" si="217"/>
        <v>14.585326226246135</v>
      </c>
      <c r="CV44" s="229">
        <f t="shared" si="218"/>
        <v>0.83</v>
      </c>
      <c r="CW44" s="229">
        <f t="shared" si="219"/>
        <v>1.19</v>
      </c>
      <c r="CX44" s="229">
        <f t="shared" si="220"/>
        <v>0.73530018604520697</v>
      </c>
      <c r="CY44" s="229">
        <f t="shared" si="221"/>
        <v>0.52457844809397247</v>
      </c>
      <c r="CZ44" s="229">
        <f t="shared" si="222"/>
        <v>1.1909274862938921</v>
      </c>
      <c r="DA44" s="229">
        <f t="shared" si="223"/>
        <v>0.83</v>
      </c>
      <c r="DB44" s="229">
        <f t="shared" si="224"/>
        <v>0.54047966685910298</v>
      </c>
      <c r="DC44" s="229">
        <f t="shared" si="225"/>
        <v>0.89</v>
      </c>
      <c r="DD44" s="229">
        <f t="shared" si="226"/>
        <v>0.84141072341152168</v>
      </c>
      <c r="DE44" s="229">
        <f t="shared" si="227"/>
        <v>0.25312318173625914</v>
      </c>
      <c r="DF44" s="229">
        <f t="shared" si="228"/>
        <v>30.083189421447425</v>
      </c>
      <c r="DH44" s="234">
        <f t="shared" si="124"/>
        <v>5.9200000000000003E-2</v>
      </c>
      <c r="DI44" s="234">
        <f t="shared" si="125"/>
        <v>0.08</v>
      </c>
      <c r="DJ44" s="234">
        <f t="shared" si="126"/>
        <v>0.11277526554013471</v>
      </c>
      <c r="DK44" s="234">
        <f t="shared" si="229"/>
        <v>8.3991755180044911E-2</v>
      </c>
      <c r="DL44" s="234">
        <f t="shared" si="230"/>
        <v>2.7009773258712264E-2</v>
      </c>
      <c r="DM44" s="234">
        <f t="shared" si="231"/>
        <v>32.15764833204647</v>
      </c>
      <c r="DO44" s="229">
        <f t="shared" si="127"/>
        <v>2.38</v>
      </c>
      <c r="DP44" s="229">
        <f t="shared" si="128"/>
        <v>3.49</v>
      </c>
      <c r="DQ44" s="229">
        <f t="shared" si="129"/>
        <v>3.7927302281660844</v>
      </c>
      <c r="DR44" s="229">
        <f t="shared" si="130"/>
        <v>2.9705390406829126</v>
      </c>
      <c r="DS44" s="229">
        <f t="shared" si="131"/>
        <v>2.6524788299693349</v>
      </c>
      <c r="DT44" s="229">
        <f t="shared" si="132"/>
        <v>2.38</v>
      </c>
      <c r="DU44" s="229">
        <f t="shared" si="133"/>
        <v>1.8079999999999998</v>
      </c>
      <c r="DV44" s="229">
        <f t="shared" si="134"/>
        <v>3.3469131965412018</v>
      </c>
      <c r="DW44" s="229">
        <f t="shared" si="232"/>
        <v>2.8525826619199419</v>
      </c>
      <c r="DX44" s="229">
        <f t="shared" si="233"/>
        <v>0.66829398148175634</v>
      </c>
      <c r="DY44" s="229">
        <f t="shared" si="234"/>
        <v>23.427681532354207</v>
      </c>
      <c r="EA44" s="235">
        <f t="shared" si="135"/>
        <v>0.14000000000000001</v>
      </c>
      <c r="EB44" s="235">
        <f t="shared" si="136"/>
        <v>0.21279666623222024</v>
      </c>
      <c r="EC44" s="235">
        <f t="shared" si="137"/>
        <v>0.14000000000000001</v>
      </c>
      <c r="ED44" s="235">
        <f t="shared" si="138"/>
        <v>0.16691283829472298</v>
      </c>
      <c r="EE44" s="235">
        <f t="shared" si="139"/>
        <v>0.13993944531580349</v>
      </c>
      <c r="EF44" s="235">
        <f t="shared" si="140"/>
        <v>0.15992978996854934</v>
      </c>
      <c r="EG44" s="235">
        <f t="shared" si="141"/>
        <v>3.1771357011939748E-2</v>
      </c>
      <c r="EH44" s="235">
        <f t="shared" si="235"/>
        <v>19.865815504533384</v>
      </c>
      <c r="EJ44" s="229">
        <f t="shared" si="142"/>
        <v>7.5426305676856105</v>
      </c>
      <c r="EK44" s="229">
        <f t="shared" si="143"/>
        <v>16.153034201105701</v>
      </c>
      <c r="EL44" s="229">
        <f t="shared" si="144"/>
        <v>6.91</v>
      </c>
      <c r="EM44" s="229">
        <f t="shared" si="145"/>
        <v>14.4</v>
      </c>
      <c r="EN44" s="229">
        <f t="shared" si="146"/>
        <v>20.065366459863174</v>
      </c>
      <c r="EO44" s="229">
        <f t="shared" si="236"/>
        <v>20.433916844867358</v>
      </c>
      <c r="EP44" s="229">
        <f t="shared" si="147"/>
        <v>20.346014145431585</v>
      </c>
      <c r="EQ44" s="229">
        <f t="shared" si="148"/>
        <v>15.121566031279061</v>
      </c>
      <c r="ER44" s="229">
        <f t="shared" si="149"/>
        <v>5.8653183419146808</v>
      </c>
      <c r="ES44" s="229">
        <f t="shared" si="237"/>
        <v>38.787770590573956</v>
      </c>
      <c r="EU44" s="238">
        <f t="shared" si="191"/>
        <v>1.5896460789973619E-2</v>
      </c>
      <c r="EV44" s="238">
        <f t="shared" si="151"/>
        <v>1.5896460789973619E-2</v>
      </c>
      <c r="EW44" s="238" t="e">
        <f t="shared" si="152"/>
        <v>#DIV/0!</v>
      </c>
      <c r="EX44" s="238" t="e">
        <f t="shared" si="238"/>
        <v>#DIV/0!</v>
      </c>
      <c r="EZ44" s="240">
        <f t="shared" si="153"/>
        <v>2.718294795085488E-2</v>
      </c>
      <c r="FA44" s="240">
        <f t="shared" si="154"/>
        <v>2.718294795085488E-2</v>
      </c>
      <c r="FB44" s="240" t="e">
        <f t="shared" si="155"/>
        <v>#DIV/0!</v>
      </c>
      <c r="FC44" s="240" t="e">
        <f t="shared" si="239"/>
        <v>#DIV/0!</v>
      </c>
      <c r="FE44" s="236">
        <f t="shared" si="156"/>
        <v>0.9</v>
      </c>
      <c r="FF44" s="236">
        <f t="shared" si="157"/>
        <v>1.2</v>
      </c>
      <c r="FG44" s="236">
        <f t="shared" si="158"/>
        <v>1.3250492221677925</v>
      </c>
      <c r="FH44" s="236">
        <f t="shared" si="159"/>
        <v>1.3114580151728235</v>
      </c>
      <c r="FI44" s="236">
        <f t="shared" si="160"/>
        <v>0.9</v>
      </c>
      <c r="FJ44" s="236">
        <f t="shared" si="161"/>
        <v>1.1127522552981532</v>
      </c>
      <c r="FK44" s="236">
        <f t="shared" si="240"/>
        <v>1.1248765821064615</v>
      </c>
      <c r="FL44" s="236">
        <f t="shared" si="241"/>
        <v>0.19068885576800323</v>
      </c>
      <c r="FM44" s="236">
        <f t="shared" si="242"/>
        <v>16.951980226214356</v>
      </c>
      <c r="FO44" s="227">
        <f t="shared" si="162"/>
        <v>0.3</v>
      </c>
      <c r="FP44" s="227">
        <f t="shared" si="163"/>
        <v>0.32</v>
      </c>
      <c r="FQ44" s="227">
        <f t="shared" si="164"/>
        <v>0.35352024492569617</v>
      </c>
      <c r="FR44" s="227">
        <f t="shared" si="165"/>
        <v>0.3</v>
      </c>
      <c r="FS44" s="227">
        <f t="shared" si="166"/>
        <v>0.35767036777440636</v>
      </c>
      <c r="FT44" s="227">
        <f t="shared" si="243"/>
        <v>0.32623812254002049</v>
      </c>
      <c r="FU44" s="227">
        <f t="shared" si="244"/>
        <v>2.8053932719033062E-2</v>
      </c>
      <c r="FV44" s="227">
        <f t="shared" si="245"/>
        <v>8.5992196438022397</v>
      </c>
      <c r="FX44" s="230">
        <f t="shared" si="167"/>
        <v>2.94</v>
      </c>
      <c r="FY44" s="230">
        <f t="shared" si="168"/>
        <v>1.6691283829472299</v>
      </c>
      <c r="FZ44" s="230">
        <f t="shared" si="169"/>
        <v>2.94</v>
      </c>
      <c r="GA44" s="230">
        <f t="shared" si="170"/>
        <v>3.9415060279262213</v>
      </c>
      <c r="GB44" s="230">
        <f t="shared" si="246"/>
        <v>2.8726586027183627</v>
      </c>
      <c r="GC44" s="230">
        <f t="shared" si="247"/>
        <v>0.9309474628662826</v>
      </c>
      <c r="GD44" s="230">
        <f t="shared" si="248"/>
        <v>32.40717368869862</v>
      </c>
      <c r="GF44" s="231">
        <f t="shared" si="171"/>
        <v>0.06</v>
      </c>
      <c r="GG44" s="231">
        <f t="shared" si="172"/>
        <v>0.05</v>
      </c>
      <c r="GH44" s="231">
        <f t="shared" si="173"/>
        <v>0.06</v>
      </c>
      <c r="GI44" s="231">
        <f t="shared" si="174"/>
        <v>6.3585843159894476E-2</v>
      </c>
      <c r="GJ44" s="245">
        <f t="shared" si="187"/>
        <v>5.8396460789973612E-2</v>
      </c>
      <c r="GK44" s="231">
        <f t="shared" si="188"/>
        <v>5.8473047687230464E-3</v>
      </c>
      <c r="GL44" s="231">
        <f t="shared" si="249"/>
        <v>10.013114989542311</v>
      </c>
      <c r="GN44" s="246">
        <f t="shared" si="175"/>
        <v>0.18</v>
      </c>
      <c r="GO44" s="246">
        <f t="shared" si="176"/>
        <v>0.18</v>
      </c>
      <c r="GP44" s="246">
        <f t="shared" si="177"/>
        <v>0.16691283829472298</v>
      </c>
      <c r="GQ44" s="247">
        <f t="shared" si="189"/>
        <v>0.17563761276490766</v>
      </c>
      <c r="GR44" s="246">
        <f t="shared" si="190"/>
        <v>7.5558763334698477E-3</v>
      </c>
      <c r="GS44" s="246">
        <f t="shared" si="250"/>
        <v>4.3019693871514004</v>
      </c>
      <c r="GU44" s="249">
        <f t="shared" si="178"/>
        <v>2.1778151282263854E-2</v>
      </c>
      <c r="GV44" s="249">
        <f t="shared" si="179"/>
        <v>2.1778151282263854E-2</v>
      </c>
      <c r="GW44" s="249" t="e">
        <f t="shared" si="180"/>
        <v>#DIV/0!</v>
      </c>
      <c r="GX44" s="249" t="e">
        <f t="shared" si="251"/>
        <v>#DIV/0!</v>
      </c>
      <c r="GZ44" s="240">
        <f t="shared" si="181"/>
        <v>2.3844691184960427E-2</v>
      </c>
      <c r="HA44" s="240">
        <f t="shared" si="182"/>
        <v>2.3844691184960427E-2</v>
      </c>
      <c r="HB44" s="240" t="e">
        <f t="shared" si="183"/>
        <v>#DIV/0!</v>
      </c>
      <c r="HC44" s="240" t="e">
        <f t="shared" si="252"/>
        <v>#DIV/0!</v>
      </c>
      <c r="HE44" s="234">
        <f t="shared" si="184"/>
        <v>9.4153741700343005E-2</v>
      </c>
      <c r="HF44" s="251">
        <f t="shared" si="185"/>
        <v>9.4153741700343005E-2</v>
      </c>
      <c r="HG44" s="234" t="e">
        <f t="shared" si="186"/>
        <v>#DIV/0!</v>
      </c>
      <c r="HH44" s="234" t="e">
        <f t="shared" si="253"/>
        <v>#DIV/0!</v>
      </c>
    </row>
    <row r="45" spans="2:216" ht="15.6" x14ac:dyDescent="0.25">
      <c r="B45">
        <v>41</v>
      </c>
      <c r="C45" s="124">
        <f t="shared" si="52"/>
        <v>79.637081701897955</v>
      </c>
      <c r="D45" s="124">
        <f t="shared" si="53"/>
        <v>174.72091106311018</v>
      </c>
      <c r="E45" s="29">
        <f t="shared" si="201"/>
        <v>2.0033670200544749</v>
      </c>
      <c r="F45" s="29">
        <f t="shared" si="202"/>
        <v>1.9500259192254294</v>
      </c>
      <c r="G45" s="29">
        <f t="shared" si="203"/>
        <v>1.9780030504743853</v>
      </c>
      <c r="H45" s="29">
        <f t="shared" si="204"/>
        <v>2.0033670200544749</v>
      </c>
      <c r="I45" s="29">
        <f t="shared" si="205"/>
        <v>1.9659789383241504</v>
      </c>
      <c r="J45" s="125">
        <f t="shared" si="206"/>
        <v>1.9801483896265828</v>
      </c>
      <c r="K45" s="126">
        <f t="shared" si="207"/>
        <v>2.3403785224042208E-2</v>
      </c>
      <c r="L45" s="126">
        <f t="shared" si="55"/>
        <v>1.1819207765765325</v>
      </c>
      <c r="N45" s="138">
        <f t="shared" si="56"/>
        <v>415.83116182158238</v>
      </c>
      <c r="O45" s="138">
        <f t="shared" si="57"/>
        <v>325.79239999999999</v>
      </c>
      <c r="P45" s="138">
        <f t="shared" si="58"/>
        <v>366.01460273382344</v>
      </c>
      <c r="Q45" s="138">
        <f t="shared" si="59"/>
        <v>422.60835395211171</v>
      </c>
      <c r="R45" s="138">
        <f t="shared" si="60"/>
        <v>415.83116182158238</v>
      </c>
      <c r="S45" s="138">
        <f t="shared" si="61"/>
        <v>391.45230000000004</v>
      </c>
      <c r="T45" s="138">
        <f t="shared" si="62"/>
        <v>389.58833005485002</v>
      </c>
      <c r="U45" s="138">
        <f t="shared" si="63"/>
        <v>37.674421327408929</v>
      </c>
      <c r="V45" s="138">
        <f t="shared" si="64"/>
        <v>9.6703156693899839</v>
      </c>
      <c r="X45" s="227">
        <f t="shared" si="65"/>
        <v>0.44963394415000002</v>
      </c>
      <c r="Y45" s="227">
        <f t="shared" si="66"/>
        <v>0.47</v>
      </c>
      <c r="Z45" s="227">
        <f t="shared" si="67"/>
        <v>0.44963394415000002</v>
      </c>
      <c r="AA45" s="227">
        <f t="shared" si="68"/>
        <v>0.45642262943333334</v>
      </c>
      <c r="AB45" s="227">
        <f t="shared" si="69"/>
        <v>1.1758347827328427E-2</v>
      </c>
      <c r="AC45" s="227">
        <f t="shared" si="70"/>
        <v>2.5761973813451973</v>
      </c>
      <c r="AE45" s="228">
        <f t="shared" si="71"/>
        <v>4.4194701582778713</v>
      </c>
      <c r="AF45" s="228">
        <f t="shared" si="72"/>
        <v>5.2850000000000001</v>
      </c>
      <c r="AG45" s="228">
        <f t="shared" si="73"/>
        <v>4.4194701582778713</v>
      </c>
      <c r="AH45" s="228">
        <f t="shared" si="74"/>
        <v>7.141226836298098</v>
      </c>
      <c r="AI45" s="228">
        <f t="shared" si="75"/>
        <v>5.2850000000000001</v>
      </c>
      <c r="AJ45" s="228">
        <f t="shared" si="76"/>
        <v>6.0603819174063247</v>
      </c>
      <c r="AK45" s="228">
        <f t="shared" si="77"/>
        <v>5.4565039032608684</v>
      </c>
      <c r="AL45" s="228">
        <f t="shared" si="78"/>
        <v>5.4381504247887182</v>
      </c>
      <c r="AM45" s="228">
        <f t="shared" si="79"/>
        <v>0.94958826340683233</v>
      </c>
      <c r="AN45" s="228">
        <f t="shared" si="80"/>
        <v>17.461603472355687</v>
      </c>
      <c r="AP45" s="229">
        <f t="shared" si="192"/>
        <v>1.4114170538398469</v>
      </c>
      <c r="AQ45" s="229">
        <f t="shared" si="193"/>
        <v>1.4</v>
      </c>
      <c r="AR45" s="229">
        <f t="shared" si="194"/>
        <v>1.47</v>
      </c>
      <c r="AS45" s="229">
        <f t="shared" si="195"/>
        <v>1.3993167733383747</v>
      </c>
      <c r="AT45" s="229">
        <f t="shared" si="196"/>
        <v>1.4114170538398469</v>
      </c>
      <c r="AU45" s="229">
        <f t="shared" si="197"/>
        <v>0.76884917620652427</v>
      </c>
      <c r="AV45" s="229">
        <f t="shared" si="198"/>
        <v>1.4</v>
      </c>
      <c r="AW45" s="229">
        <f t="shared" si="199"/>
        <v>1.4499999839039159</v>
      </c>
      <c r="AX45" s="229">
        <f t="shared" si="200"/>
        <v>1.4226267830808046</v>
      </c>
      <c r="AY45" s="229">
        <f t="shared" si="90"/>
        <v>1.3481807582454792</v>
      </c>
      <c r="AZ45" s="229">
        <f t="shared" si="91"/>
        <v>0.21861993069293539</v>
      </c>
      <c r="BA45" s="229">
        <f t="shared" si="92"/>
        <v>16.215921296595802</v>
      </c>
      <c r="BC45" s="230">
        <f t="shared" si="93"/>
        <v>9.65</v>
      </c>
      <c r="BD45" s="230">
        <f t="shared" si="94"/>
        <v>11.73</v>
      </c>
      <c r="BE45" s="230">
        <f t="shared" si="95"/>
        <v>9.65</v>
      </c>
      <c r="BF45" s="230">
        <f t="shared" si="96"/>
        <v>9.2001230769140125</v>
      </c>
      <c r="BG45" s="230">
        <f t="shared" si="97"/>
        <v>10.057530769228503</v>
      </c>
      <c r="BH45" s="230">
        <f t="shared" si="98"/>
        <v>1.1349690061044861</v>
      </c>
      <c r="BI45" s="230">
        <f t="shared" si="99"/>
        <v>11.2847679231266</v>
      </c>
      <c r="BK45" s="227">
        <f t="shared" si="208"/>
        <v>19.600000000000001</v>
      </c>
      <c r="BL45" s="227">
        <f t="shared" si="209"/>
        <v>31.73</v>
      </c>
      <c r="BM45" s="227">
        <f t="shared" si="210"/>
        <v>40.474755700364177</v>
      </c>
      <c r="BN45" s="227">
        <f t="shared" si="211"/>
        <v>22.810148249137701</v>
      </c>
      <c r="BO45" s="227">
        <f t="shared" si="212"/>
        <v>19.600000000000001</v>
      </c>
      <c r="BP45" s="227">
        <f t="shared" si="213"/>
        <v>30.482477593222509</v>
      </c>
      <c r="BQ45" s="227">
        <f t="shared" si="214"/>
        <v>31.86</v>
      </c>
      <c r="BR45" s="227">
        <f t="shared" si="100"/>
        <v>28.079625934674912</v>
      </c>
      <c r="BS45" s="227">
        <f t="shared" si="101"/>
        <v>7.7309432795987609</v>
      </c>
      <c r="BT45" s="227">
        <f t="shared" si="215"/>
        <v>27.532216054388346</v>
      </c>
      <c r="BV45" s="231">
        <f t="shared" si="102"/>
        <v>0.26</v>
      </c>
      <c r="BW45" s="231">
        <f t="shared" si="103"/>
        <v>0.3151452230383448</v>
      </c>
      <c r="BX45" s="231">
        <f t="shared" si="104"/>
        <v>0.32206723513074398</v>
      </c>
      <c r="BY45" s="231">
        <f t="shared" si="105"/>
        <v>0.26</v>
      </c>
      <c r="BZ45" s="231">
        <f t="shared" si="106"/>
        <v>0.33451202761368276</v>
      </c>
      <c r="CA45" s="231">
        <f t="shared" si="107"/>
        <v>0.31294836678307042</v>
      </c>
      <c r="CB45" s="231">
        <f t="shared" si="108"/>
        <v>0.48</v>
      </c>
      <c r="CC45" s="231">
        <f t="shared" si="109"/>
        <v>0.45590201884180953</v>
      </c>
      <c r="CD45" s="231">
        <f t="shared" si="110"/>
        <v>0.34257185892595643</v>
      </c>
      <c r="CE45" s="231">
        <f t="shared" si="111"/>
        <v>8.2359503744439913E-2</v>
      </c>
      <c r="CF45" s="231">
        <f t="shared" si="216"/>
        <v>24.04152635381563</v>
      </c>
      <c r="CH45" s="232">
        <f t="shared" si="112"/>
        <v>1.4735332511569639</v>
      </c>
      <c r="CI45" s="232">
        <f t="shared" si="113"/>
        <v>1.52</v>
      </c>
      <c r="CJ45" s="232">
        <f t="shared" si="114"/>
        <v>2.1</v>
      </c>
      <c r="CK45" s="232">
        <f t="shared" si="115"/>
        <v>1.9672053152543216</v>
      </c>
      <c r="CL45" s="232">
        <f t="shared" si="116"/>
        <v>1.909366308458688</v>
      </c>
      <c r="CM45" s="232">
        <f t="shared" si="117"/>
        <v>1.5236352971122218</v>
      </c>
      <c r="CN45" s="232">
        <f t="shared" si="118"/>
        <v>1.4764200905080564</v>
      </c>
      <c r="CO45" s="232">
        <f t="shared" si="119"/>
        <v>1.8686486878383881</v>
      </c>
      <c r="CP45" s="232">
        <f t="shared" si="120"/>
        <v>1.52</v>
      </c>
      <c r="CQ45" s="232">
        <f t="shared" si="121"/>
        <v>1.4828904410190231</v>
      </c>
      <c r="CR45" s="232">
        <f t="shared" si="122"/>
        <v>1.6841699391347664</v>
      </c>
      <c r="CS45" s="232">
        <f t="shared" si="123"/>
        <v>0.24618999811414588</v>
      </c>
      <c r="CT45" s="232">
        <f t="shared" si="217"/>
        <v>14.61788340911872</v>
      </c>
      <c r="CV45" s="229">
        <f t="shared" si="218"/>
        <v>0.83</v>
      </c>
      <c r="CW45" s="229">
        <f t="shared" si="219"/>
        <v>1.19</v>
      </c>
      <c r="CX45" s="229">
        <f t="shared" si="220"/>
        <v>0.73853724157210254</v>
      </c>
      <c r="CY45" s="229">
        <f t="shared" si="221"/>
        <v>0.5230421978868981</v>
      </c>
      <c r="CZ45" s="229">
        <f t="shared" si="222"/>
        <v>1.1926857720745401</v>
      </c>
      <c r="DA45" s="229">
        <f t="shared" si="223"/>
        <v>0.83</v>
      </c>
      <c r="DB45" s="229">
        <f t="shared" si="224"/>
        <v>0.54153215557290602</v>
      </c>
      <c r="DC45" s="229">
        <f t="shared" si="225"/>
        <v>0.89</v>
      </c>
      <c r="DD45" s="229">
        <f t="shared" si="226"/>
        <v>0.8419746708883058</v>
      </c>
      <c r="DE45" s="229">
        <f t="shared" si="227"/>
        <v>0.25337607651416949</v>
      </c>
      <c r="DF45" s="229">
        <f t="shared" si="228"/>
        <v>30.093075869711257</v>
      </c>
      <c r="DH45" s="234">
        <f t="shared" si="124"/>
        <v>6.0679999999999998E-2</v>
      </c>
      <c r="DI45" s="234">
        <f t="shared" si="125"/>
        <v>8.2000000000000003E-2</v>
      </c>
      <c r="DJ45" s="234">
        <f t="shared" si="126"/>
        <v>0.11264057285237174</v>
      </c>
      <c r="DK45" s="234">
        <f t="shared" si="229"/>
        <v>8.5106857617457246E-2</v>
      </c>
      <c r="DL45" s="234">
        <f t="shared" si="230"/>
        <v>2.6119240149323247E-2</v>
      </c>
      <c r="DM45" s="234">
        <f t="shared" si="231"/>
        <v>30.689936017524431</v>
      </c>
      <c r="DO45" s="229">
        <f t="shared" si="127"/>
        <v>2.38</v>
      </c>
      <c r="DP45" s="229">
        <f t="shared" si="128"/>
        <v>3.49</v>
      </c>
      <c r="DQ45" s="229">
        <f t="shared" si="129"/>
        <v>3.7923253435078372</v>
      </c>
      <c r="DR45" s="229">
        <f t="shared" si="130"/>
        <v>2.970222584439874</v>
      </c>
      <c r="DS45" s="229">
        <f t="shared" si="131"/>
        <v>2.6565642601159594</v>
      </c>
      <c r="DT45" s="229">
        <f t="shared" si="132"/>
        <v>2.38</v>
      </c>
      <c r="DU45" s="229">
        <f t="shared" si="133"/>
        <v>1.8532</v>
      </c>
      <c r="DV45" s="229">
        <f t="shared" si="134"/>
        <v>3.345755391125508</v>
      </c>
      <c r="DW45" s="229">
        <f t="shared" si="232"/>
        <v>2.8585084473986475</v>
      </c>
      <c r="DX45" s="229">
        <f t="shared" si="233"/>
        <v>0.65792448619057875</v>
      </c>
      <c r="DY45" s="229">
        <f t="shared" si="234"/>
        <v>23.016356197558739</v>
      </c>
      <c r="EA45" s="235">
        <f t="shared" si="135"/>
        <v>0.14000000000000001</v>
      </c>
      <c r="EB45" s="235">
        <f t="shared" si="136"/>
        <v>0.21314239407421076</v>
      </c>
      <c r="EC45" s="235">
        <f t="shared" si="137"/>
        <v>0.14000000000000001</v>
      </c>
      <c r="ED45" s="235">
        <f t="shared" si="138"/>
        <v>0.1672378715739857</v>
      </c>
      <c r="EE45" s="235">
        <f t="shared" si="139"/>
        <v>0.1397858713712882</v>
      </c>
      <c r="EF45" s="235">
        <f t="shared" si="140"/>
        <v>0.16003322740389694</v>
      </c>
      <c r="EG45" s="235">
        <f t="shared" si="141"/>
        <v>3.1957418187239725E-2</v>
      </c>
      <c r="EH45" s="235">
        <f t="shared" si="235"/>
        <v>19.969239329645323</v>
      </c>
      <c r="EJ45" s="229">
        <f t="shared" si="142"/>
        <v>7.5426305676856105</v>
      </c>
      <c r="EK45" s="229">
        <f t="shared" si="143"/>
        <v>16.218363056896081</v>
      </c>
      <c r="EL45" s="229">
        <f t="shared" si="144"/>
        <v>6.91</v>
      </c>
      <c r="EM45" s="229">
        <f t="shared" si="145"/>
        <v>14.4</v>
      </c>
      <c r="EN45" s="229">
        <f t="shared" si="146"/>
        <v>20.242086297227502</v>
      </c>
      <c r="EO45" s="229">
        <f t="shared" si="236"/>
        <v>20.611495426013096</v>
      </c>
      <c r="EP45" s="229">
        <f t="shared" si="147"/>
        <v>20.453183398539494</v>
      </c>
      <c r="EQ45" s="229">
        <f t="shared" si="148"/>
        <v>15.196822678051683</v>
      </c>
      <c r="ER45" s="229">
        <f t="shared" si="149"/>
        <v>5.9349143782662859</v>
      </c>
      <c r="ES45" s="229">
        <f t="shared" si="237"/>
        <v>39.05365288520413</v>
      </c>
      <c r="EU45" s="238">
        <f t="shared" si="191"/>
        <v>1.5927416340379592E-2</v>
      </c>
      <c r="EV45" s="238">
        <f t="shared" si="151"/>
        <v>1.5927416340379592E-2</v>
      </c>
      <c r="EW45" s="238" t="e">
        <f t="shared" si="152"/>
        <v>#DIV/0!</v>
      </c>
      <c r="EX45" s="238" t="e">
        <f t="shared" si="238"/>
        <v>#DIV/0!</v>
      </c>
      <c r="EZ45" s="240">
        <f t="shared" si="153"/>
        <v>2.7235881942049102E-2</v>
      </c>
      <c r="FA45" s="240">
        <f t="shared" si="154"/>
        <v>2.7235881942049102E-2</v>
      </c>
      <c r="FB45" s="240" t="e">
        <f t="shared" si="155"/>
        <v>#DIV/0!</v>
      </c>
      <c r="FC45" s="240" t="e">
        <f t="shared" si="239"/>
        <v>#DIV/0!</v>
      </c>
      <c r="FE45" s="236">
        <f t="shared" si="156"/>
        <v>0.9</v>
      </c>
      <c r="FF45" s="236">
        <f t="shared" si="157"/>
        <v>1.2</v>
      </c>
      <c r="FG45" s="236">
        <f t="shared" si="158"/>
        <v>1.3264557671144905</v>
      </c>
      <c r="FH45" s="236">
        <f t="shared" si="159"/>
        <v>1.3140118480813163</v>
      </c>
      <c r="FI45" s="236">
        <f t="shared" si="160"/>
        <v>0.9</v>
      </c>
      <c r="FJ45" s="236">
        <f t="shared" si="161"/>
        <v>1.1149191438265713</v>
      </c>
      <c r="FK45" s="236">
        <f t="shared" si="240"/>
        <v>1.1258977931703964</v>
      </c>
      <c r="FL45" s="236">
        <f t="shared" si="241"/>
        <v>0.19145845099369649</v>
      </c>
      <c r="FM45" s="236">
        <f t="shared" si="242"/>
        <v>17.004958367896954</v>
      </c>
      <c r="FO45" s="227">
        <f t="shared" si="162"/>
        <v>0.3</v>
      </c>
      <c r="FP45" s="227">
        <f t="shared" si="163"/>
        <v>0.32</v>
      </c>
      <c r="FQ45" s="227">
        <f t="shared" si="164"/>
        <v>0.35317657789249818</v>
      </c>
      <c r="FR45" s="227">
        <f t="shared" si="165"/>
        <v>0.3</v>
      </c>
      <c r="FS45" s="227">
        <f t="shared" si="166"/>
        <v>0.35836686765854076</v>
      </c>
      <c r="FT45" s="227">
        <f t="shared" si="243"/>
        <v>0.32630868911020777</v>
      </c>
      <c r="FU45" s="227">
        <f t="shared" si="244"/>
        <v>2.8167818797071902E-2</v>
      </c>
      <c r="FV45" s="227">
        <f t="shared" si="245"/>
        <v>8.6322613332427931</v>
      </c>
      <c r="FX45" s="230">
        <f t="shared" si="167"/>
        <v>2.94</v>
      </c>
      <c r="FY45" s="230">
        <f t="shared" si="168"/>
        <v>1.6723787157398571</v>
      </c>
      <c r="FZ45" s="230">
        <f t="shared" si="169"/>
        <v>2.94</v>
      </c>
      <c r="GA45" s="230">
        <f t="shared" si="170"/>
        <v>3.9526432719550511</v>
      </c>
      <c r="GB45" s="230">
        <f t="shared" si="246"/>
        <v>2.8762554969237271</v>
      </c>
      <c r="GC45" s="230">
        <f t="shared" si="247"/>
        <v>0.93381951679743702</v>
      </c>
      <c r="GD45" s="230">
        <f t="shared" si="248"/>
        <v>32.466500900083297</v>
      </c>
      <c r="GF45" s="231">
        <f t="shared" si="171"/>
        <v>0.06</v>
      </c>
      <c r="GG45" s="231">
        <f t="shared" si="172"/>
        <v>0.05</v>
      </c>
      <c r="GH45" s="231">
        <f t="shared" si="173"/>
        <v>0.06</v>
      </c>
      <c r="GI45" s="231">
        <f t="shared" si="174"/>
        <v>6.3709665361518369E-2</v>
      </c>
      <c r="GJ45" s="245">
        <f t="shared" si="187"/>
        <v>5.8427416340379588E-2</v>
      </c>
      <c r="GK45" s="231">
        <f t="shared" si="188"/>
        <v>5.8841464866319316E-3</v>
      </c>
      <c r="GL45" s="231">
        <f t="shared" si="249"/>
        <v>10.070865451850141</v>
      </c>
      <c r="GN45" s="246">
        <f t="shared" si="175"/>
        <v>0.18</v>
      </c>
      <c r="GO45" s="246">
        <f t="shared" si="176"/>
        <v>0.18</v>
      </c>
      <c r="GP45" s="246">
        <f t="shared" si="177"/>
        <v>0.1672378715739857</v>
      </c>
      <c r="GQ45" s="247">
        <f t="shared" si="189"/>
        <v>0.17574595719132857</v>
      </c>
      <c r="GR45" s="246">
        <f t="shared" si="190"/>
        <v>7.3682182821919262E-3</v>
      </c>
      <c r="GS45" s="246">
        <f t="shared" si="250"/>
        <v>4.1925392765481373</v>
      </c>
      <c r="GU45" s="249">
        <f t="shared" si="178"/>
        <v>2.1820560386320038E-2</v>
      </c>
      <c r="GV45" s="249">
        <f t="shared" si="179"/>
        <v>2.1820560386320038E-2</v>
      </c>
      <c r="GW45" s="249" t="e">
        <f t="shared" si="180"/>
        <v>#DIV/0!</v>
      </c>
      <c r="GX45" s="249" t="e">
        <f t="shared" si="251"/>
        <v>#DIV/0!</v>
      </c>
      <c r="GZ45" s="240">
        <f t="shared" si="181"/>
        <v>2.3891124510569389E-2</v>
      </c>
      <c r="HA45" s="240">
        <f t="shared" si="182"/>
        <v>2.3891124510569389E-2</v>
      </c>
      <c r="HB45" s="240" t="e">
        <f t="shared" si="183"/>
        <v>#DIV/0!</v>
      </c>
      <c r="HC45" s="240" t="e">
        <f t="shared" si="252"/>
        <v>#DIV/0!</v>
      </c>
      <c r="HE45" s="234">
        <f t="shared" si="184"/>
        <v>9.433792722525855E-2</v>
      </c>
      <c r="HF45" s="251">
        <f t="shared" si="185"/>
        <v>9.433792722525855E-2</v>
      </c>
      <c r="HG45" s="234" t="e">
        <f t="shared" si="186"/>
        <v>#DIV/0!</v>
      </c>
      <c r="HH45" s="234" t="e">
        <f t="shared" si="253"/>
        <v>#DIV/0!</v>
      </c>
    </row>
    <row r="46" spans="2:216" ht="15.6" x14ac:dyDescent="0.25">
      <c r="B46">
        <v>42</v>
      </c>
      <c r="C46" s="124">
        <f t="shared" si="52"/>
        <v>79.776101334513442</v>
      </c>
      <c r="D46" s="124">
        <f t="shared" si="53"/>
        <v>174.40466946281748</v>
      </c>
      <c r="E46" s="29">
        <f t="shared" si="201"/>
        <v>2.0036596796662365</v>
      </c>
      <c r="F46" s="29">
        <f t="shared" si="202"/>
        <v>1.9489105020134536</v>
      </c>
      <c r="G46" s="29">
        <f t="shared" si="203"/>
        <v>1.978267585020143</v>
      </c>
      <c r="H46" s="29">
        <f t="shared" si="204"/>
        <v>2.0036596796662365</v>
      </c>
      <c r="I46" s="29">
        <f t="shared" si="205"/>
        <v>1.9659126085667391</v>
      </c>
      <c r="J46" s="125">
        <f t="shared" si="206"/>
        <v>1.9800820109865618</v>
      </c>
      <c r="K46" s="126">
        <f t="shared" si="207"/>
        <v>2.3914117163926836E-2</v>
      </c>
      <c r="L46" s="126">
        <f t="shared" si="55"/>
        <v>1.207733671193336</v>
      </c>
      <c r="N46" s="138">
        <f t="shared" si="56"/>
        <v>415.81722230717799</v>
      </c>
      <c r="O46" s="138">
        <f t="shared" si="57"/>
        <v>325.79239999999999</v>
      </c>
      <c r="P46" s="138">
        <f t="shared" si="58"/>
        <v>364.40087218769793</v>
      </c>
      <c r="Q46" s="138">
        <f t="shared" si="59"/>
        <v>423.16957749686333</v>
      </c>
      <c r="R46" s="138">
        <f t="shared" si="60"/>
        <v>415.81722230717799</v>
      </c>
      <c r="S46" s="138">
        <f t="shared" si="61"/>
        <v>390.63720000000001</v>
      </c>
      <c r="T46" s="138">
        <f t="shared" si="62"/>
        <v>389.27241571648619</v>
      </c>
      <c r="U46" s="138">
        <f t="shared" si="63"/>
        <v>37.969566233102526</v>
      </c>
      <c r="V46" s="138">
        <f t="shared" si="64"/>
        <v>9.7539832518614471</v>
      </c>
      <c r="X46" s="227">
        <f t="shared" si="65"/>
        <v>0.44930968920000003</v>
      </c>
      <c r="Y46" s="227">
        <f t="shared" si="66"/>
        <v>0.47</v>
      </c>
      <c r="Z46" s="227">
        <f t="shared" si="67"/>
        <v>0.44930968920000003</v>
      </c>
      <c r="AA46" s="227">
        <f t="shared" si="68"/>
        <v>0.45620645946666666</v>
      </c>
      <c r="AB46" s="227">
        <f t="shared" si="69"/>
        <v>1.1945556509996989E-2</v>
      </c>
      <c r="AC46" s="227">
        <f t="shared" si="70"/>
        <v>2.6184540490641184</v>
      </c>
      <c r="AE46" s="228">
        <f t="shared" si="71"/>
        <v>4.4192911644173698</v>
      </c>
      <c r="AF46" s="228">
        <f t="shared" si="72"/>
        <v>5.2850000000000001</v>
      </c>
      <c r="AG46" s="228">
        <f t="shared" si="73"/>
        <v>4.4192911644173698</v>
      </c>
      <c r="AH46" s="228">
        <f t="shared" si="74"/>
        <v>7.153689142529819</v>
      </c>
      <c r="AI46" s="228">
        <f t="shared" si="75"/>
        <v>5.2850000000000001</v>
      </c>
      <c r="AJ46" s="228">
        <f t="shared" si="76"/>
        <v>6.0709613114965606</v>
      </c>
      <c r="AK46" s="228">
        <f t="shared" si="77"/>
        <v>5.4562953741370279</v>
      </c>
      <c r="AL46" s="228">
        <f t="shared" si="78"/>
        <v>5.441361165285449</v>
      </c>
      <c r="AM46" s="228">
        <f t="shared" si="79"/>
        <v>0.95453638639609739</v>
      </c>
      <c r="AN46" s="228">
        <f t="shared" si="80"/>
        <v>17.542235433402318</v>
      </c>
      <c r="AP46" s="229">
        <f t="shared" si="192"/>
        <v>1.4121946335602724</v>
      </c>
      <c r="AQ46" s="229">
        <f t="shared" si="193"/>
        <v>1.4</v>
      </c>
      <c r="AR46" s="229">
        <f t="shared" si="194"/>
        <v>1.47</v>
      </c>
      <c r="AS46" s="229">
        <f t="shared" si="195"/>
        <v>1.3945437230170665</v>
      </c>
      <c r="AT46" s="229">
        <f t="shared" si="196"/>
        <v>1.4121946335602724</v>
      </c>
      <c r="AU46" s="229">
        <f t="shared" si="197"/>
        <v>0.78660914404739801</v>
      </c>
      <c r="AV46" s="229">
        <f t="shared" si="198"/>
        <v>1.4</v>
      </c>
      <c r="AW46" s="229">
        <f t="shared" si="199"/>
        <v>1.4499999896335356</v>
      </c>
      <c r="AX46" s="229">
        <f t="shared" si="200"/>
        <v>1.4203668522092034</v>
      </c>
      <c r="AY46" s="229">
        <f t="shared" si="90"/>
        <v>1.349545441780861</v>
      </c>
      <c r="AZ46" s="229">
        <f t="shared" si="91"/>
        <v>0.21256745309624225</v>
      </c>
      <c r="BA46" s="229">
        <f t="shared" si="92"/>
        <v>15.751040796057827</v>
      </c>
      <c r="BC46" s="230">
        <f t="shared" si="93"/>
        <v>9.65</v>
      </c>
      <c r="BD46" s="230">
        <f t="shared" si="94"/>
        <v>11.73</v>
      </c>
      <c r="BE46" s="230">
        <f t="shared" si="95"/>
        <v>9.65</v>
      </c>
      <c r="BF46" s="230">
        <f t="shared" si="96"/>
        <v>9.2001230769197431</v>
      </c>
      <c r="BG46" s="230">
        <f t="shared" si="97"/>
        <v>10.057530769229936</v>
      </c>
      <c r="BH46" s="230">
        <f t="shared" si="98"/>
        <v>1.1349690061030429</v>
      </c>
      <c r="BI46" s="230">
        <f t="shared" si="99"/>
        <v>11.284767923110643</v>
      </c>
      <c r="BK46" s="227">
        <f t="shared" si="208"/>
        <v>19.600000000000001</v>
      </c>
      <c r="BL46" s="227">
        <f t="shared" si="209"/>
        <v>31.73</v>
      </c>
      <c r="BM46" s="227">
        <f t="shared" si="210"/>
        <v>40.468434263922383</v>
      </c>
      <c r="BN46" s="227">
        <f t="shared" si="211"/>
        <v>22.823097753174014</v>
      </c>
      <c r="BO46" s="227">
        <f t="shared" si="212"/>
        <v>19.600000000000001</v>
      </c>
      <c r="BP46" s="227">
        <f t="shared" si="213"/>
        <v>30.403807662020906</v>
      </c>
      <c r="BQ46" s="227">
        <f t="shared" si="214"/>
        <v>31.86</v>
      </c>
      <c r="BR46" s="227">
        <f t="shared" si="100"/>
        <v>28.069334239873903</v>
      </c>
      <c r="BS46" s="227">
        <f t="shared" si="101"/>
        <v>7.723765386619009</v>
      </c>
      <c r="BT46" s="227">
        <f t="shared" si="215"/>
        <v>27.516738803327268</v>
      </c>
      <c r="BV46" s="231">
        <f t="shared" si="102"/>
        <v>0.26</v>
      </c>
      <c r="BW46" s="231">
        <f t="shared" si="103"/>
        <v>0.31513573077213153</v>
      </c>
      <c r="BX46" s="231">
        <f t="shared" si="104"/>
        <v>0.32247623745920334</v>
      </c>
      <c r="BY46" s="231">
        <f t="shared" si="105"/>
        <v>0.26</v>
      </c>
      <c r="BZ46" s="231">
        <f t="shared" si="106"/>
        <v>0.33508885380068504</v>
      </c>
      <c r="CA46" s="231">
        <f t="shared" si="107"/>
        <v>0.31264846478384883</v>
      </c>
      <c r="CB46" s="231">
        <f t="shared" si="108"/>
        <v>0.48</v>
      </c>
      <c r="CC46" s="231">
        <f t="shared" si="109"/>
        <v>0.45464947732690969</v>
      </c>
      <c r="CD46" s="231">
        <f t="shared" si="110"/>
        <v>0.34249984551784735</v>
      </c>
      <c r="CE46" s="231">
        <f t="shared" si="111"/>
        <v>8.2107985346756396E-2</v>
      </c>
      <c r="CF46" s="231">
        <f t="shared" si="216"/>
        <v>23.973145220726188</v>
      </c>
      <c r="CH46" s="232">
        <f t="shared" si="112"/>
        <v>1.4734743126400509</v>
      </c>
      <c r="CI46" s="232">
        <f t="shared" si="113"/>
        <v>1.52</v>
      </c>
      <c r="CJ46" s="232">
        <f t="shared" si="114"/>
        <v>2.1</v>
      </c>
      <c r="CK46" s="232">
        <f t="shared" si="115"/>
        <v>1.97060615736329</v>
      </c>
      <c r="CL46" s="232">
        <f t="shared" si="116"/>
        <v>1.9085718428200247</v>
      </c>
      <c r="CM46" s="232">
        <f t="shared" si="117"/>
        <v>1.5257095088326462</v>
      </c>
      <c r="CN46" s="232">
        <f t="shared" si="118"/>
        <v>1.4763610365230806</v>
      </c>
      <c r="CO46" s="232">
        <f t="shared" si="119"/>
        <v>1.8717576064014088</v>
      </c>
      <c r="CP46" s="232">
        <f t="shared" si="120"/>
        <v>1.52</v>
      </c>
      <c r="CQ46" s="232">
        <f t="shared" si="121"/>
        <v>1.482331276198251</v>
      </c>
      <c r="CR46" s="232">
        <f t="shared" si="122"/>
        <v>1.6848811740778753</v>
      </c>
      <c r="CS46" s="232">
        <f t="shared" si="123"/>
        <v>0.24671844367756932</v>
      </c>
      <c r="CT46" s="232">
        <f t="shared" si="217"/>
        <v>14.643076762525805</v>
      </c>
      <c r="CV46" s="229">
        <f t="shared" si="218"/>
        <v>0.83</v>
      </c>
      <c r="CW46" s="229">
        <f t="shared" si="219"/>
        <v>1.19</v>
      </c>
      <c r="CX46" s="229">
        <f t="shared" si="220"/>
        <v>0.74161558577058995</v>
      </c>
      <c r="CY46" s="229">
        <f t="shared" si="221"/>
        <v>0.5217517188488392</v>
      </c>
      <c r="CZ46" s="229">
        <f t="shared" si="222"/>
        <v>1.1942631861638278</v>
      </c>
      <c r="DA46" s="229">
        <f t="shared" si="223"/>
        <v>0.83</v>
      </c>
      <c r="DB46" s="229">
        <f t="shared" si="224"/>
        <v>0.5424774890746914</v>
      </c>
      <c r="DC46" s="229">
        <f t="shared" si="225"/>
        <v>0.89</v>
      </c>
      <c r="DD46" s="229">
        <f t="shared" si="226"/>
        <v>0.84251349748224358</v>
      </c>
      <c r="DE46" s="229">
        <f t="shared" si="227"/>
        <v>0.25358373360417513</v>
      </c>
      <c r="DF46" s="229">
        <f t="shared" si="228"/>
        <v>30.098477278047355</v>
      </c>
      <c r="DH46" s="234">
        <f t="shared" si="124"/>
        <v>6.216E-2</v>
      </c>
      <c r="DI46" s="234">
        <f t="shared" si="125"/>
        <v>8.4000000000000005E-2</v>
      </c>
      <c r="DJ46" s="234">
        <f t="shared" si="126"/>
        <v>0.11253408114810499</v>
      </c>
      <c r="DK46" s="234">
        <f t="shared" si="229"/>
        <v>8.6231360382701669E-2</v>
      </c>
      <c r="DL46" s="234">
        <f t="shared" si="230"/>
        <v>2.5261061730400113E-2</v>
      </c>
      <c r="DM46" s="234">
        <f t="shared" si="231"/>
        <v>29.294518395963493</v>
      </c>
      <c r="DO46" s="229">
        <f t="shared" si="127"/>
        <v>2.38</v>
      </c>
      <c r="DP46" s="229">
        <f t="shared" si="128"/>
        <v>3.49</v>
      </c>
      <c r="DQ46" s="229">
        <f t="shared" si="129"/>
        <v>3.7921979529626393</v>
      </c>
      <c r="DR46" s="229">
        <f t="shared" si="130"/>
        <v>2.9701230164798424</v>
      </c>
      <c r="DS46" s="229">
        <f t="shared" si="131"/>
        <v>2.6602380128982355</v>
      </c>
      <c r="DT46" s="229">
        <f t="shared" si="132"/>
        <v>2.38</v>
      </c>
      <c r="DU46" s="229">
        <f t="shared" si="133"/>
        <v>1.8983999999999999</v>
      </c>
      <c r="DV46" s="229">
        <f t="shared" si="134"/>
        <v>3.3453911887735397</v>
      </c>
      <c r="DW46" s="229">
        <f t="shared" si="232"/>
        <v>2.8645437713892821</v>
      </c>
      <c r="DX46" s="229">
        <f t="shared" si="233"/>
        <v>0.64794609046351703</v>
      </c>
      <c r="DY46" s="229">
        <f t="shared" si="234"/>
        <v>22.61952136794433</v>
      </c>
      <c r="EA46" s="235">
        <f t="shared" si="135"/>
        <v>0.14000000000000001</v>
      </c>
      <c r="EB46" s="235">
        <f t="shared" si="136"/>
        <v>0.21345269542685247</v>
      </c>
      <c r="EC46" s="235">
        <f t="shared" si="137"/>
        <v>0.14000000000000001</v>
      </c>
      <c r="ED46" s="235">
        <f t="shared" si="138"/>
        <v>0.16752981280247822</v>
      </c>
      <c r="EE46" s="235">
        <f t="shared" si="139"/>
        <v>0.1396644516316273</v>
      </c>
      <c r="EF46" s="235">
        <f t="shared" si="140"/>
        <v>0.16012939197219161</v>
      </c>
      <c r="EG46" s="235">
        <f t="shared" si="141"/>
        <v>3.2122186823387119E-2</v>
      </c>
      <c r="EH46" s="235">
        <f t="shared" si="235"/>
        <v>20.060144129545886</v>
      </c>
      <c r="EJ46" s="229">
        <f t="shared" si="142"/>
        <v>7.5426305676856105</v>
      </c>
      <c r="EK46" s="229">
        <f t="shared" si="143"/>
        <v>16.283237366872701</v>
      </c>
      <c r="EL46" s="229">
        <f t="shared" si="144"/>
        <v>6.91</v>
      </c>
      <c r="EM46" s="229">
        <f t="shared" si="145"/>
        <v>14.4</v>
      </c>
      <c r="EN46" s="229">
        <f t="shared" si="146"/>
        <v>20.41191829668249</v>
      </c>
      <c r="EO46" s="229">
        <f t="shared" si="236"/>
        <v>20.781010009859028</v>
      </c>
      <c r="EP46" s="229">
        <f t="shared" si="147"/>
        <v>20.549640177992195</v>
      </c>
      <c r="EQ46" s="229">
        <f t="shared" si="148"/>
        <v>15.26834805987029</v>
      </c>
      <c r="ER46" s="229">
        <f t="shared" si="149"/>
        <v>6.0009794299256534</v>
      </c>
      <c r="ES46" s="229">
        <f t="shared" si="237"/>
        <v>39.303396846827148</v>
      </c>
      <c r="EU46" s="238">
        <f t="shared" si="191"/>
        <v>1.595522026690269E-2</v>
      </c>
      <c r="EV46" s="238">
        <f t="shared" si="151"/>
        <v>1.595522026690269E-2</v>
      </c>
      <c r="EW46" s="238" t="e">
        <f t="shared" si="152"/>
        <v>#DIV/0!</v>
      </c>
      <c r="EX46" s="238" t="e">
        <f t="shared" si="238"/>
        <v>#DIV/0!</v>
      </c>
      <c r="EZ46" s="240">
        <f t="shared" si="153"/>
        <v>2.7283426656403598E-2</v>
      </c>
      <c r="FA46" s="240">
        <f t="shared" si="154"/>
        <v>2.7283426656403598E-2</v>
      </c>
      <c r="FB46" s="240" t="e">
        <f t="shared" si="155"/>
        <v>#DIV/0!</v>
      </c>
      <c r="FC46" s="240" t="e">
        <f t="shared" si="239"/>
        <v>#DIV/0!</v>
      </c>
      <c r="FE46" s="236">
        <f t="shared" si="156"/>
        <v>0.9</v>
      </c>
      <c r="FF46" s="236">
        <f t="shared" si="157"/>
        <v>1.2</v>
      </c>
      <c r="FG46" s="236">
        <f t="shared" si="158"/>
        <v>1.32762280754486</v>
      </c>
      <c r="FH46" s="236">
        <f t="shared" si="159"/>
        <v>1.3163056720194719</v>
      </c>
      <c r="FI46" s="236">
        <f t="shared" si="160"/>
        <v>0.9</v>
      </c>
      <c r="FJ46" s="236">
        <f t="shared" si="161"/>
        <v>1.1168654186831881</v>
      </c>
      <c r="FK46" s="236">
        <f t="shared" si="240"/>
        <v>1.1267989830412535</v>
      </c>
      <c r="FL46" s="236">
        <f t="shared" si="241"/>
        <v>0.19213308702952997</v>
      </c>
      <c r="FM46" s="236">
        <f t="shared" si="242"/>
        <v>17.051230070421152</v>
      </c>
      <c r="FO46" s="227">
        <f t="shared" si="162"/>
        <v>0.3</v>
      </c>
      <c r="FP46" s="227">
        <f t="shared" si="163"/>
        <v>0.32</v>
      </c>
      <c r="FQ46" s="227">
        <f t="shared" si="164"/>
        <v>0.35291025214950422</v>
      </c>
      <c r="FR46" s="227">
        <f t="shared" si="165"/>
        <v>0.3</v>
      </c>
      <c r="FS46" s="227">
        <f t="shared" si="166"/>
        <v>0.35899245600531043</v>
      </c>
      <c r="FT46" s="227">
        <f t="shared" si="243"/>
        <v>0.32638054163096292</v>
      </c>
      <c r="FU46" s="227">
        <f t="shared" si="244"/>
        <v>2.8284005039720606E-2</v>
      </c>
      <c r="FV46" s="227">
        <f t="shared" si="245"/>
        <v>8.6659593425459818</v>
      </c>
      <c r="FX46" s="230">
        <f t="shared" si="167"/>
        <v>2.94</v>
      </c>
      <c r="FY46" s="230">
        <f t="shared" si="168"/>
        <v>1.6752981280247823</v>
      </c>
      <c r="FZ46" s="230">
        <f t="shared" si="169"/>
        <v>2.94</v>
      </c>
      <c r="GA46" s="230">
        <f t="shared" si="170"/>
        <v>3.9626437176243647</v>
      </c>
      <c r="GB46" s="230">
        <f t="shared" si="246"/>
        <v>2.8794854614122869</v>
      </c>
      <c r="GC46" s="230">
        <f t="shared" si="247"/>
        <v>0.93641567704594741</v>
      </c>
      <c r="GD46" s="230">
        <f t="shared" si="248"/>
        <v>32.520243272444525</v>
      </c>
      <c r="GF46" s="231">
        <f t="shared" si="171"/>
        <v>0.06</v>
      </c>
      <c r="GG46" s="231">
        <f t="shared" si="172"/>
        <v>0.05</v>
      </c>
      <c r="GH46" s="231">
        <f t="shared" si="173"/>
        <v>0.06</v>
      </c>
      <c r="GI46" s="231">
        <f t="shared" si="174"/>
        <v>6.382088106761076E-2</v>
      </c>
      <c r="GJ46" s="245">
        <f t="shared" si="187"/>
        <v>5.8455220266902683E-2</v>
      </c>
      <c r="GK46" s="231">
        <f t="shared" si="188"/>
        <v>5.9175939490548994E-3</v>
      </c>
      <c r="GL46" s="231">
        <f t="shared" si="249"/>
        <v>10.123294244783537</v>
      </c>
      <c r="GN46" s="246">
        <f t="shared" si="175"/>
        <v>0.18</v>
      </c>
      <c r="GO46" s="246">
        <f t="shared" si="176"/>
        <v>0.18</v>
      </c>
      <c r="GP46" s="246">
        <f t="shared" si="177"/>
        <v>0.16752981280247822</v>
      </c>
      <c r="GQ46" s="247">
        <f t="shared" si="189"/>
        <v>0.17584327093415941</v>
      </c>
      <c r="GR46" s="246">
        <f t="shared" si="190"/>
        <v>7.199665935334219E-3</v>
      </c>
      <c r="GS46" s="246">
        <f t="shared" si="250"/>
        <v>4.0943653385690109</v>
      </c>
      <c r="GU46" s="249">
        <f t="shared" si="178"/>
        <v>2.1858651765656684E-2</v>
      </c>
      <c r="GV46" s="249">
        <f t="shared" si="179"/>
        <v>2.1858651765656684E-2</v>
      </c>
      <c r="GW46" s="249" t="e">
        <f t="shared" si="180"/>
        <v>#DIV/0!</v>
      </c>
      <c r="GX46" s="249" t="e">
        <f t="shared" si="251"/>
        <v>#DIV/0!</v>
      </c>
      <c r="GZ46" s="240">
        <f t="shared" si="181"/>
        <v>2.3932830400354033E-2</v>
      </c>
      <c r="HA46" s="240">
        <f t="shared" si="182"/>
        <v>2.3932830400354033E-2</v>
      </c>
      <c r="HB46" s="240" t="e">
        <f t="shared" si="183"/>
        <v>#DIV/0!</v>
      </c>
      <c r="HC46" s="240" t="e">
        <f t="shared" si="252"/>
        <v>#DIV/0!</v>
      </c>
      <c r="HE46" s="234">
        <f t="shared" si="184"/>
        <v>9.4503360588070975E-2</v>
      </c>
      <c r="HF46" s="251">
        <f t="shared" si="185"/>
        <v>9.4503360588070975E-2</v>
      </c>
      <c r="HG46" s="234" t="e">
        <f t="shared" si="186"/>
        <v>#DIV/0!</v>
      </c>
      <c r="HH46" s="234" t="e">
        <f t="shared" si="253"/>
        <v>#DIV/0!</v>
      </c>
    </row>
    <row r="47" spans="2:216" ht="15.6" x14ac:dyDescent="0.25">
      <c r="B47">
        <v>43</v>
      </c>
      <c r="C47" s="124">
        <f t="shared" si="52"/>
        <v>79.896897844526848</v>
      </c>
      <c r="D47" s="124">
        <f t="shared" si="53"/>
        <v>174.15134873850917</v>
      </c>
      <c r="E47" s="29">
        <f t="shared" si="201"/>
        <v>2.0040129498896695</v>
      </c>
      <c r="F47" s="29">
        <f t="shared" si="202"/>
        <v>1.9481101053350844</v>
      </c>
      <c r="G47" s="29">
        <f t="shared" si="203"/>
        <v>1.9785956576791159</v>
      </c>
      <c r="H47" s="29">
        <f t="shared" si="204"/>
        <v>2.0040129498896695</v>
      </c>
      <c r="I47" s="29">
        <f t="shared" si="205"/>
        <v>1.9659711001356752</v>
      </c>
      <c r="J47" s="125">
        <f t="shared" si="206"/>
        <v>1.9801405525858429</v>
      </c>
      <c r="K47" s="126">
        <f t="shared" si="207"/>
        <v>2.4335634058708581E-2</v>
      </c>
      <c r="L47" s="126">
        <f t="shared" si="55"/>
        <v>1.2289851862752346</v>
      </c>
      <c r="N47" s="138">
        <f t="shared" si="56"/>
        <v>415.82951604302696</v>
      </c>
      <c r="O47" s="138">
        <f t="shared" si="57"/>
        <v>325.79239999999999</v>
      </c>
      <c r="P47" s="138">
        <f t="shared" si="58"/>
        <v>362.81396023308952</v>
      </c>
      <c r="Q47" s="138">
        <f t="shared" si="59"/>
        <v>423.65704427809885</v>
      </c>
      <c r="R47" s="138">
        <f t="shared" si="60"/>
        <v>415.82951604302696</v>
      </c>
      <c r="S47" s="138">
        <f t="shared" si="61"/>
        <v>389.71470000000005</v>
      </c>
      <c r="T47" s="138">
        <f t="shared" si="62"/>
        <v>388.93952276620706</v>
      </c>
      <c r="U47" s="138">
        <f t="shared" si="63"/>
        <v>38.267884205556918</v>
      </c>
      <c r="V47" s="138">
        <f t="shared" si="64"/>
        <v>9.8390320256961594</v>
      </c>
      <c r="X47" s="227">
        <f t="shared" si="65"/>
        <v>0.44892500404999996</v>
      </c>
      <c r="Y47" s="227">
        <f t="shared" si="66"/>
        <v>0.47</v>
      </c>
      <c r="Z47" s="227">
        <f t="shared" si="67"/>
        <v>0.44892500404999996</v>
      </c>
      <c r="AA47" s="227">
        <f t="shared" si="68"/>
        <v>0.45595000269999991</v>
      </c>
      <c r="AB47" s="227">
        <f t="shared" si="69"/>
        <v>1.2167654584902777E-2</v>
      </c>
      <c r="AC47" s="227">
        <f t="shared" si="70"/>
        <v>2.6686379017106168</v>
      </c>
      <c r="AE47" s="228">
        <f t="shared" si="71"/>
        <v>4.4194490251770135</v>
      </c>
      <c r="AF47" s="228">
        <f t="shared" si="72"/>
        <v>5.2850000000000001</v>
      </c>
      <c r="AG47" s="228">
        <f t="shared" si="73"/>
        <v>4.4194490251770135</v>
      </c>
      <c r="AH47" s="228">
        <f t="shared" si="74"/>
        <v>7.16451784020928</v>
      </c>
      <c r="AI47" s="228">
        <f t="shared" si="75"/>
        <v>5.2850000000000001</v>
      </c>
      <c r="AJ47" s="228">
        <f t="shared" si="76"/>
        <v>6.0801539259352984</v>
      </c>
      <c r="AK47" s="228">
        <f t="shared" si="77"/>
        <v>5.4564792831234499</v>
      </c>
      <c r="AL47" s="228">
        <f t="shared" si="78"/>
        <v>5.4442927285174365</v>
      </c>
      <c r="AM47" s="228">
        <f t="shared" si="79"/>
        <v>0.95873180023231552</v>
      </c>
      <c r="AN47" s="228">
        <f t="shared" si="80"/>
        <v>17.609850315550403</v>
      </c>
      <c r="AP47" s="229">
        <f t="shared" si="192"/>
        <v>1.4129371085594988</v>
      </c>
      <c r="AQ47" s="229">
        <f t="shared" si="193"/>
        <v>1.4</v>
      </c>
      <c r="AR47" s="229">
        <f t="shared" si="194"/>
        <v>1.47</v>
      </c>
      <c r="AS47" s="229">
        <f t="shared" si="195"/>
        <v>1.390373090675399</v>
      </c>
      <c r="AT47" s="229">
        <f t="shared" si="196"/>
        <v>1.4129371085594988</v>
      </c>
      <c r="AU47" s="229">
        <f t="shared" si="197"/>
        <v>0.8044607002088543</v>
      </c>
      <c r="AV47" s="229">
        <f t="shared" si="198"/>
        <v>1.4</v>
      </c>
      <c r="AW47" s="229">
        <f t="shared" si="199"/>
        <v>1.4499999933236194</v>
      </c>
      <c r="AX47" s="229">
        <f t="shared" si="200"/>
        <v>1.4181105113779453</v>
      </c>
      <c r="AY47" s="229">
        <f t="shared" si="90"/>
        <v>1.3509798347449793</v>
      </c>
      <c r="AZ47" s="229">
        <f t="shared" si="91"/>
        <v>0.20651745479338554</v>
      </c>
      <c r="BA47" s="229">
        <f t="shared" si="92"/>
        <v>15.286494252696913</v>
      </c>
      <c r="BC47" s="230">
        <f t="shared" si="93"/>
        <v>9.65</v>
      </c>
      <c r="BD47" s="230">
        <f t="shared" si="94"/>
        <v>11.73</v>
      </c>
      <c r="BE47" s="230">
        <f t="shared" si="95"/>
        <v>9.65</v>
      </c>
      <c r="BF47" s="230">
        <f t="shared" si="96"/>
        <v>9.2001230769218498</v>
      </c>
      <c r="BG47" s="230">
        <f t="shared" si="97"/>
        <v>10.057530769230462</v>
      </c>
      <c r="BH47" s="230">
        <f t="shared" si="98"/>
        <v>1.1349690061025124</v>
      </c>
      <c r="BI47" s="230">
        <f t="shared" si="99"/>
        <v>11.284767923104777</v>
      </c>
      <c r="BK47" s="227">
        <f t="shared" si="208"/>
        <v>19.600000000000001</v>
      </c>
      <c r="BL47" s="227">
        <f t="shared" si="209"/>
        <v>31.73</v>
      </c>
      <c r="BM47" s="227">
        <f t="shared" si="210"/>
        <v>40.464966717872286</v>
      </c>
      <c r="BN47" s="227">
        <f t="shared" si="211"/>
        <v>22.834305751989877</v>
      </c>
      <c r="BO47" s="227">
        <f t="shared" si="212"/>
        <v>19.600000000000001</v>
      </c>
      <c r="BP47" s="227">
        <f t="shared" si="213"/>
        <v>30.308891913173657</v>
      </c>
      <c r="BQ47" s="227">
        <f t="shared" si="214"/>
        <v>31.86</v>
      </c>
      <c r="BR47" s="227">
        <f t="shared" si="100"/>
        <v>28.056880626147972</v>
      </c>
      <c r="BS47" s="227">
        <f t="shared" si="101"/>
        <v>7.7168714123545596</v>
      </c>
      <c r="BT47" s="227">
        <f t="shared" si="215"/>
        <v>27.50438124316187</v>
      </c>
      <c r="BV47" s="231">
        <f t="shared" si="102"/>
        <v>0.26</v>
      </c>
      <c r="BW47" s="231">
        <f t="shared" si="103"/>
        <v>0.31506243935368849</v>
      </c>
      <c r="BX47" s="231">
        <f t="shared" si="104"/>
        <v>0.3228320279205637</v>
      </c>
      <c r="BY47" s="231">
        <f t="shared" si="105"/>
        <v>0.26</v>
      </c>
      <c r="BZ47" s="231">
        <f t="shared" si="106"/>
        <v>0.33559050967112408</v>
      </c>
      <c r="CA47" s="231">
        <f t="shared" si="107"/>
        <v>0.31242462123417203</v>
      </c>
      <c r="CB47" s="231">
        <f t="shared" si="108"/>
        <v>0.48</v>
      </c>
      <c r="CC47" s="231">
        <f t="shared" si="109"/>
        <v>0.45364383642565487</v>
      </c>
      <c r="CD47" s="231">
        <f t="shared" si="110"/>
        <v>0.34244417932565041</v>
      </c>
      <c r="CE47" s="231">
        <f t="shared" si="111"/>
        <v>8.190900506248347E-2</v>
      </c>
      <c r="CF47" s="231">
        <f t="shared" si="216"/>
        <v>23.918936284383843</v>
      </c>
      <c r="CH47" s="232">
        <f t="shared" si="112"/>
        <v>1.4735262925395829</v>
      </c>
      <c r="CI47" s="232">
        <f t="shared" si="113"/>
        <v>1.52</v>
      </c>
      <c r="CJ47" s="232">
        <f t="shared" si="114"/>
        <v>2.1</v>
      </c>
      <c r="CK47" s="232">
        <f t="shared" si="115"/>
        <v>1.9735632693622924</v>
      </c>
      <c r="CL47" s="232">
        <f t="shared" si="116"/>
        <v>1.9072952097581204</v>
      </c>
      <c r="CM47" s="232">
        <f t="shared" si="117"/>
        <v>1.5275111808610498</v>
      </c>
      <c r="CN47" s="232">
        <f t="shared" si="118"/>
        <v>1.4764131182578575</v>
      </c>
      <c r="CO47" s="232">
        <f t="shared" si="119"/>
        <v>1.8744573179224551</v>
      </c>
      <c r="CP47" s="232">
        <f t="shared" si="120"/>
        <v>1.52</v>
      </c>
      <c r="CQ47" s="232">
        <f t="shared" si="121"/>
        <v>1.4819633539892842</v>
      </c>
      <c r="CR47" s="232">
        <f t="shared" si="122"/>
        <v>1.685472974269064</v>
      </c>
      <c r="CS47" s="232">
        <f t="shared" si="123"/>
        <v>0.24709579404965595</v>
      </c>
      <c r="CT47" s="232">
        <f t="shared" si="217"/>
        <v>14.660323708650003</v>
      </c>
      <c r="CV47" s="229">
        <f t="shared" si="218"/>
        <v>0.83</v>
      </c>
      <c r="CW47" s="229">
        <f t="shared" si="219"/>
        <v>1.19</v>
      </c>
      <c r="CX47" s="229">
        <f t="shared" si="220"/>
        <v>0.74450681955236875</v>
      </c>
      <c r="CY47" s="229">
        <f t="shared" si="221"/>
        <v>0.52071506863534289</v>
      </c>
      <c r="CZ47" s="229">
        <f t="shared" si="222"/>
        <v>1.195632399932566</v>
      </c>
      <c r="DA47" s="229">
        <f t="shared" si="223"/>
        <v>0.83</v>
      </c>
      <c r="DB47" s="229">
        <f t="shared" si="224"/>
        <v>0.54329890534278258</v>
      </c>
      <c r="DC47" s="229">
        <f t="shared" si="225"/>
        <v>0.89</v>
      </c>
      <c r="DD47" s="229">
        <f t="shared" si="226"/>
        <v>0.84301914918288257</v>
      </c>
      <c r="DE47" s="229">
        <f t="shared" si="227"/>
        <v>0.25374194885659951</v>
      </c>
      <c r="DF47" s="229">
        <f t="shared" si="228"/>
        <v>30.099191590433648</v>
      </c>
      <c r="DH47" s="234">
        <f t="shared" si="124"/>
        <v>6.3640000000000002E-2</v>
      </c>
      <c r="DI47" s="234">
        <f t="shared" si="125"/>
        <v>8.6000000000000007E-2</v>
      </c>
      <c r="DJ47" s="234">
        <f t="shared" si="126"/>
        <v>0.11245514326816321</v>
      </c>
      <c r="DK47" s="234">
        <f t="shared" si="229"/>
        <v>8.7365047756054401E-2</v>
      </c>
      <c r="DL47" s="234">
        <f t="shared" si="230"/>
        <v>2.443618361375317E-2</v>
      </c>
      <c r="DM47" s="234">
        <f t="shared" si="231"/>
        <v>27.970205753203793</v>
      </c>
      <c r="DO47" s="229">
        <f t="shared" si="127"/>
        <v>2.38</v>
      </c>
      <c r="DP47" s="229">
        <f t="shared" si="128"/>
        <v>3.49</v>
      </c>
      <c r="DQ47" s="229">
        <f t="shared" si="129"/>
        <v>3.7923103030531915</v>
      </c>
      <c r="DR47" s="229">
        <f t="shared" si="130"/>
        <v>2.9702108288787645</v>
      </c>
      <c r="DS47" s="229">
        <f t="shared" si="131"/>
        <v>2.6634334526261769</v>
      </c>
      <c r="DT47" s="229">
        <f t="shared" si="132"/>
        <v>2.38</v>
      </c>
      <c r="DU47" s="229">
        <f t="shared" si="133"/>
        <v>1.9435999999999998</v>
      </c>
      <c r="DV47" s="229">
        <f t="shared" si="134"/>
        <v>3.3457123892549125</v>
      </c>
      <c r="DW47" s="229">
        <f t="shared" si="232"/>
        <v>2.8706583717266305</v>
      </c>
      <c r="DX47" s="229">
        <f t="shared" si="233"/>
        <v>0.63835547793871672</v>
      </c>
      <c r="DY47" s="229">
        <f t="shared" si="234"/>
        <v>22.237249971154231</v>
      </c>
      <c r="EA47" s="235">
        <f t="shared" si="135"/>
        <v>0.14000000000000001</v>
      </c>
      <c r="EB47" s="235">
        <f t="shared" si="136"/>
        <v>0.21372214670647813</v>
      </c>
      <c r="EC47" s="235">
        <f t="shared" si="137"/>
        <v>0.14000000000000001</v>
      </c>
      <c r="ED47" s="235">
        <f t="shared" si="138"/>
        <v>0.16778348547350638</v>
      </c>
      <c r="EE47" s="235">
        <f t="shared" si="139"/>
        <v>0.1395744482187051</v>
      </c>
      <c r="EF47" s="235">
        <f t="shared" si="140"/>
        <v>0.16021601607973796</v>
      </c>
      <c r="EG47" s="235">
        <f t="shared" si="141"/>
        <v>3.2263065352293514E-2</v>
      </c>
      <c r="EH47" s="235">
        <f t="shared" si="235"/>
        <v>20.13722856286509</v>
      </c>
      <c r="EJ47" s="229">
        <f t="shared" si="142"/>
        <v>7.5426305676856105</v>
      </c>
      <c r="EK47" s="229">
        <f t="shared" si="143"/>
        <v>16.345196805697181</v>
      </c>
      <c r="EL47" s="229">
        <f t="shared" si="144"/>
        <v>6.91</v>
      </c>
      <c r="EM47" s="229">
        <f t="shared" si="145"/>
        <v>14.4</v>
      </c>
      <c r="EN47" s="229">
        <f t="shared" si="146"/>
        <v>20.574568640562923</v>
      </c>
      <c r="EO47" s="229">
        <f t="shared" si="236"/>
        <v>20.939301401109816</v>
      </c>
      <c r="EP47" s="229">
        <f t="shared" si="147"/>
        <v>20.633603578248227</v>
      </c>
      <c r="EQ47" s="229">
        <f t="shared" si="148"/>
        <v>15.335042999043395</v>
      </c>
      <c r="ER47" s="229">
        <f t="shared" si="149"/>
        <v>6.0626292777424942</v>
      </c>
      <c r="ES47" s="229">
        <f t="shared" si="237"/>
        <v>39.534478502086252</v>
      </c>
      <c r="EU47" s="238">
        <f t="shared" si="191"/>
        <v>1.5979379568905369E-2</v>
      </c>
      <c r="EV47" s="238">
        <f t="shared" si="151"/>
        <v>1.5979379568905369E-2</v>
      </c>
      <c r="EW47" s="238" t="e">
        <f t="shared" si="152"/>
        <v>#DIV/0!</v>
      </c>
      <c r="EX47" s="238" t="e">
        <f t="shared" si="238"/>
        <v>#DIV/0!</v>
      </c>
      <c r="EZ47" s="240">
        <f t="shared" si="153"/>
        <v>2.7324739062828184E-2</v>
      </c>
      <c r="FA47" s="240">
        <f t="shared" si="154"/>
        <v>2.7324739062828184E-2</v>
      </c>
      <c r="FB47" s="240" t="e">
        <f t="shared" si="155"/>
        <v>#DIV/0!</v>
      </c>
      <c r="FC47" s="240" t="e">
        <f t="shared" si="239"/>
        <v>#DIV/0!</v>
      </c>
      <c r="FE47" s="236">
        <f t="shared" si="156"/>
        <v>0.9</v>
      </c>
      <c r="FF47" s="236">
        <f t="shared" si="157"/>
        <v>1.2</v>
      </c>
      <c r="FG47" s="236">
        <f t="shared" si="158"/>
        <v>1.3285255082454004</v>
      </c>
      <c r="FH47" s="236">
        <f t="shared" si="159"/>
        <v>1.318298814434693</v>
      </c>
      <c r="FI47" s="236">
        <f t="shared" si="160"/>
        <v>0.9</v>
      </c>
      <c r="FJ47" s="236">
        <f t="shared" si="161"/>
        <v>1.1185565698233759</v>
      </c>
      <c r="FK47" s="236">
        <f t="shared" si="240"/>
        <v>1.1275634820839116</v>
      </c>
      <c r="FL47" s="236">
        <f t="shared" si="241"/>
        <v>0.19269880815328347</v>
      </c>
      <c r="FM47" s="236">
        <f t="shared" si="242"/>
        <v>17.089841167713793</v>
      </c>
      <c r="FO47" s="227">
        <f t="shared" si="162"/>
        <v>0.3</v>
      </c>
      <c r="FP47" s="227">
        <f t="shared" si="163"/>
        <v>0.32</v>
      </c>
      <c r="FQ47" s="227">
        <f t="shared" si="164"/>
        <v>0.35271863195447295</v>
      </c>
      <c r="FR47" s="227">
        <f t="shared" si="165"/>
        <v>0.3</v>
      </c>
      <c r="FS47" s="227">
        <f t="shared" si="166"/>
        <v>0.35953604030037078</v>
      </c>
      <c r="FT47" s="227">
        <f t="shared" si="243"/>
        <v>0.32645093445096879</v>
      </c>
      <c r="FU47" s="227">
        <f t="shared" si="244"/>
        <v>2.8396895002584903E-2</v>
      </c>
      <c r="FV47" s="227">
        <f t="shared" si="245"/>
        <v>8.6986716856373292</v>
      </c>
      <c r="FX47" s="230">
        <f t="shared" si="167"/>
        <v>2.94</v>
      </c>
      <c r="FY47" s="230">
        <f t="shared" si="168"/>
        <v>1.6778348547350639</v>
      </c>
      <c r="FZ47" s="230">
        <f t="shared" si="169"/>
        <v>2.94</v>
      </c>
      <c r="GA47" s="230">
        <f t="shared" si="170"/>
        <v>3.9714200721940589</v>
      </c>
      <c r="GB47" s="230">
        <f t="shared" si="246"/>
        <v>2.8823137317322804</v>
      </c>
      <c r="GC47" s="230">
        <f t="shared" si="247"/>
        <v>0.93871852314024995</v>
      </c>
      <c r="GD47" s="230">
        <f t="shared" si="248"/>
        <v>32.568228531322191</v>
      </c>
      <c r="GF47" s="231">
        <f t="shared" si="171"/>
        <v>0.06</v>
      </c>
      <c r="GG47" s="231">
        <f t="shared" si="172"/>
        <v>0.05</v>
      </c>
      <c r="GH47" s="231">
        <f t="shared" si="173"/>
        <v>0.06</v>
      </c>
      <c r="GI47" s="231">
        <f t="shared" si="174"/>
        <v>6.3917518275621477E-2</v>
      </c>
      <c r="GJ47" s="245">
        <f t="shared" si="187"/>
        <v>5.8479379568905365E-2</v>
      </c>
      <c r="GK47" s="231">
        <f t="shared" si="188"/>
        <v>5.9469264739016956E-3</v>
      </c>
      <c r="GL47" s="231">
        <f t="shared" si="249"/>
        <v>10.169270805779536</v>
      </c>
      <c r="GN47" s="246">
        <f t="shared" si="175"/>
        <v>0.18</v>
      </c>
      <c r="GO47" s="246">
        <f t="shared" si="176"/>
        <v>0.18</v>
      </c>
      <c r="GP47" s="246">
        <f t="shared" si="177"/>
        <v>0.16778348547350638</v>
      </c>
      <c r="GQ47" s="247">
        <f t="shared" si="189"/>
        <v>0.17592782849116881</v>
      </c>
      <c r="GR47" s="246">
        <f t="shared" si="190"/>
        <v>7.0532079504300599E-3</v>
      </c>
      <c r="GS47" s="246">
        <f t="shared" si="250"/>
        <v>4.0091485303498278</v>
      </c>
      <c r="GU47" s="249">
        <f t="shared" si="178"/>
        <v>2.1891750009400357E-2</v>
      </c>
      <c r="GV47" s="249">
        <f t="shared" si="179"/>
        <v>2.1891750009400357E-2</v>
      </c>
      <c r="GW47" s="249" t="e">
        <f t="shared" si="180"/>
        <v>#DIV/0!</v>
      </c>
      <c r="GX47" s="249" t="e">
        <f t="shared" si="251"/>
        <v>#DIV/0!</v>
      </c>
      <c r="GZ47" s="240">
        <f t="shared" si="181"/>
        <v>2.3969069353358057E-2</v>
      </c>
      <c r="HA47" s="240">
        <f t="shared" si="182"/>
        <v>2.3969069353358057E-2</v>
      </c>
      <c r="HB47" s="240" t="e">
        <f t="shared" si="183"/>
        <v>#DIV/0!</v>
      </c>
      <c r="HC47" s="240" t="e">
        <f t="shared" si="252"/>
        <v>#DIV/0!</v>
      </c>
      <c r="HE47" s="234">
        <f t="shared" si="184"/>
        <v>9.4647108434986929E-2</v>
      </c>
      <c r="HF47" s="251">
        <f t="shared" si="185"/>
        <v>9.4647108434986929E-2</v>
      </c>
      <c r="HG47" s="234" t="e">
        <f t="shared" si="186"/>
        <v>#DIV/0!</v>
      </c>
      <c r="HH47" s="234" t="e">
        <f t="shared" si="253"/>
        <v>#DIV/0!</v>
      </c>
    </row>
    <row r="48" spans="2:216" ht="15.6" x14ac:dyDescent="0.25">
      <c r="B48">
        <v>44</v>
      </c>
      <c r="C48" s="124">
        <f t="shared" si="52"/>
        <v>79.998464469597138</v>
      </c>
      <c r="D48" s="124">
        <f t="shared" si="53"/>
        <v>173.9606294864779</v>
      </c>
      <c r="E48" s="29">
        <f t="shared" si="201"/>
        <v>2.0044146071717241</v>
      </c>
      <c r="F48" s="29">
        <f t="shared" si="202"/>
        <v>1.9476144091902181</v>
      </c>
      <c r="G48" s="29">
        <f t="shared" si="203"/>
        <v>1.9789753131366203</v>
      </c>
      <c r="H48" s="29">
        <f t="shared" si="204"/>
        <v>2.0044146071717241</v>
      </c>
      <c r="I48" s="29">
        <f t="shared" si="205"/>
        <v>1.9661428142066182</v>
      </c>
      <c r="J48" s="125">
        <f t="shared" si="206"/>
        <v>1.980312350175381</v>
      </c>
      <c r="K48" s="126">
        <f t="shared" si="207"/>
        <v>2.4665544525297942E-2</v>
      </c>
      <c r="L48" s="126">
        <f t="shared" si="55"/>
        <v>1.2455380850961972</v>
      </c>
      <c r="N48" s="138">
        <f t="shared" si="56"/>
        <v>415.86559353682998</v>
      </c>
      <c r="O48" s="138">
        <f t="shared" si="57"/>
        <v>325.79239999999999</v>
      </c>
      <c r="P48" s="138">
        <f t="shared" si="58"/>
        <v>361.25136272229383</v>
      </c>
      <c r="Q48" s="138">
        <f t="shared" si="59"/>
        <v>424.06677369753675</v>
      </c>
      <c r="R48" s="138">
        <f t="shared" si="60"/>
        <v>415.86559353682998</v>
      </c>
      <c r="S48" s="138">
        <f t="shared" si="61"/>
        <v>388.6848</v>
      </c>
      <c r="T48" s="138">
        <f t="shared" si="62"/>
        <v>388.58775391558174</v>
      </c>
      <c r="U48" s="138">
        <f t="shared" si="63"/>
        <v>38.568033624470857</v>
      </c>
      <c r="V48" s="138">
        <f t="shared" si="64"/>
        <v>9.9251798945906877</v>
      </c>
      <c r="X48" s="227">
        <f t="shared" si="65"/>
        <v>0.44848665759999995</v>
      </c>
      <c r="Y48" s="227">
        <f t="shared" si="66"/>
        <v>0.47</v>
      </c>
      <c r="Z48" s="227">
        <f t="shared" si="67"/>
        <v>0.44848665759999995</v>
      </c>
      <c r="AA48" s="227">
        <f t="shared" si="68"/>
        <v>0.45565777173333327</v>
      </c>
      <c r="AB48" s="227">
        <f t="shared" si="69"/>
        <v>1.2420734025808605E-2</v>
      </c>
      <c r="AC48" s="227">
        <f t="shared" si="70"/>
        <v>2.7258909638608446</v>
      </c>
      <c r="AE48" s="228">
        <f t="shared" si="71"/>
        <v>4.4199122927803529</v>
      </c>
      <c r="AF48" s="228">
        <f t="shared" si="72"/>
        <v>5.2850000000000001</v>
      </c>
      <c r="AG48" s="228">
        <f t="shared" si="73"/>
        <v>4.4199122927803529</v>
      </c>
      <c r="AH48" s="228">
        <f t="shared" si="74"/>
        <v>7.1736226837404597</v>
      </c>
      <c r="AI48" s="228">
        <f t="shared" si="75"/>
        <v>5.2850000000000001</v>
      </c>
      <c r="AJ48" s="228">
        <f t="shared" si="76"/>
        <v>6.0878831461179548</v>
      </c>
      <c r="AK48" s="228">
        <f t="shared" si="77"/>
        <v>5.4570189868717147</v>
      </c>
      <c r="AL48" s="228">
        <f t="shared" si="78"/>
        <v>5.4469070574701197</v>
      </c>
      <c r="AM48" s="228">
        <f t="shared" si="79"/>
        <v>0.96214722844776357</v>
      </c>
      <c r="AN48" s="228">
        <f t="shared" si="80"/>
        <v>17.664102183058805</v>
      </c>
      <c r="AP48" s="229">
        <f t="shared" si="192"/>
        <v>1.4136468036238354</v>
      </c>
      <c r="AQ48" s="229">
        <f t="shared" si="193"/>
        <v>1.4</v>
      </c>
      <c r="AR48" s="229">
        <f t="shared" si="194"/>
        <v>1.47</v>
      </c>
      <c r="AS48" s="229">
        <f t="shared" si="195"/>
        <v>1.3868054172768973</v>
      </c>
      <c r="AT48" s="229">
        <f t="shared" si="196"/>
        <v>1.4136468036238354</v>
      </c>
      <c r="AU48" s="229">
        <f t="shared" si="197"/>
        <v>0.82241848707173115</v>
      </c>
      <c r="AV48" s="229">
        <f t="shared" si="198"/>
        <v>1.4</v>
      </c>
      <c r="AW48" s="229">
        <f t="shared" si="199"/>
        <v>1.4499999957001677</v>
      </c>
      <c r="AX48" s="229">
        <f t="shared" si="200"/>
        <v>1.4158577548840288</v>
      </c>
      <c r="AY48" s="229">
        <f t="shared" si="90"/>
        <v>1.3524861402422772</v>
      </c>
      <c r="AZ48" s="229">
        <f t="shared" si="91"/>
        <v>0.20046207176369271</v>
      </c>
      <c r="BA48" s="229">
        <f t="shared" si="92"/>
        <v>14.821746840805556</v>
      </c>
      <c r="BC48" s="230">
        <f t="shared" si="93"/>
        <v>9.65</v>
      </c>
      <c r="BD48" s="230">
        <f t="shared" si="94"/>
        <v>11.73</v>
      </c>
      <c r="BE48" s="230">
        <f t="shared" si="95"/>
        <v>9.65</v>
      </c>
      <c r="BF48" s="230">
        <f t="shared" si="96"/>
        <v>9.2001230769226261</v>
      </c>
      <c r="BG48" s="230">
        <f t="shared" si="97"/>
        <v>10.057530769230656</v>
      </c>
      <c r="BH48" s="230">
        <f t="shared" si="98"/>
        <v>1.134969006102317</v>
      </c>
      <c r="BI48" s="230">
        <f t="shared" si="99"/>
        <v>11.284767923102617</v>
      </c>
      <c r="BK48" s="227">
        <f t="shared" si="208"/>
        <v>19.600000000000001</v>
      </c>
      <c r="BL48" s="227">
        <f t="shared" si="209"/>
        <v>31.73</v>
      </c>
      <c r="BM48" s="227">
        <f t="shared" si="210"/>
        <v>40.46405298527057</v>
      </c>
      <c r="BN48" s="227">
        <f t="shared" si="211"/>
        <v>22.843698218175465</v>
      </c>
      <c r="BO48" s="227">
        <f t="shared" si="212"/>
        <v>19.600000000000001</v>
      </c>
      <c r="BP48" s="227">
        <f t="shared" si="213"/>
        <v>30.197518746809724</v>
      </c>
      <c r="BQ48" s="227">
        <f t="shared" si="214"/>
        <v>31.86</v>
      </c>
      <c r="BR48" s="227">
        <f t="shared" si="100"/>
        <v>28.042181421465109</v>
      </c>
      <c r="BS48" s="227">
        <f t="shared" si="101"/>
        <v>7.7102658689701959</v>
      </c>
      <c r="BT48" s="227">
        <f t="shared" si="215"/>
        <v>27.495242802574239</v>
      </c>
      <c r="BV48" s="231">
        <f t="shared" si="102"/>
        <v>0.26</v>
      </c>
      <c r="BW48" s="231">
        <f t="shared" si="103"/>
        <v>0.31492182410805963</v>
      </c>
      <c r="BX48" s="231">
        <f t="shared" si="104"/>
        <v>0.32313147083022176</v>
      </c>
      <c r="BY48" s="231">
        <f t="shared" si="105"/>
        <v>0.26</v>
      </c>
      <c r="BZ48" s="231">
        <f t="shared" si="106"/>
        <v>0.33601250292101431</v>
      </c>
      <c r="CA48" s="231">
        <f t="shared" si="107"/>
        <v>0.31227490002053931</v>
      </c>
      <c r="CB48" s="231">
        <f t="shared" si="108"/>
        <v>0.48</v>
      </c>
      <c r="CC48" s="231">
        <f t="shared" si="109"/>
        <v>0.45288535594769236</v>
      </c>
      <c r="CD48" s="231">
        <f t="shared" si="110"/>
        <v>0.34240325672844091</v>
      </c>
      <c r="CE48" s="231">
        <f t="shared" si="111"/>
        <v>8.1761798561832369E-2</v>
      </c>
      <c r="CF48" s="231">
        <f t="shared" si="216"/>
        <v>23.878802831211804</v>
      </c>
      <c r="CH48" s="232">
        <f t="shared" si="112"/>
        <v>1.4736788340067382</v>
      </c>
      <c r="CI48" s="232">
        <f t="shared" si="113"/>
        <v>1.52</v>
      </c>
      <c r="CJ48" s="232">
        <f t="shared" si="114"/>
        <v>2.1</v>
      </c>
      <c r="CK48" s="232">
        <f t="shared" si="115"/>
        <v>1.976050552171108</v>
      </c>
      <c r="CL48" s="232">
        <f t="shared" si="116"/>
        <v>1.9055097712475173</v>
      </c>
      <c r="CM48" s="232">
        <f t="shared" si="117"/>
        <v>1.5290255766827003</v>
      </c>
      <c r="CN48" s="232">
        <f t="shared" si="118"/>
        <v>1.476565958573179</v>
      </c>
      <c r="CO48" s="232">
        <f t="shared" si="119"/>
        <v>1.8767260292652281</v>
      </c>
      <c r="CP48" s="232">
        <f t="shared" si="120"/>
        <v>1.52</v>
      </c>
      <c r="CQ48" s="232">
        <f t="shared" si="121"/>
        <v>1.481776385987529</v>
      </c>
      <c r="CR48" s="232">
        <f t="shared" si="122"/>
        <v>1.6859333107933998</v>
      </c>
      <c r="CS48" s="232">
        <f t="shared" si="123"/>
        <v>0.24731657301386736</v>
      </c>
      <c r="CT48" s="232">
        <f t="shared" si="217"/>
        <v>14.669416128772037</v>
      </c>
      <c r="CV48" s="229">
        <f t="shared" si="218"/>
        <v>0.83</v>
      </c>
      <c r="CW48" s="229">
        <f t="shared" si="219"/>
        <v>1.19</v>
      </c>
      <c r="CX48" s="229">
        <f t="shared" si="220"/>
        <v>0.74719909614783098</v>
      </c>
      <c r="CY48" s="229">
        <f t="shared" si="221"/>
        <v>0.51993287599133464</v>
      </c>
      <c r="CZ48" s="229">
        <f t="shared" si="222"/>
        <v>1.1967826176885574</v>
      </c>
      <c r="DA48" s="229">
        <f t="shared" si="223"/>
        <v>0.83</v>
      </c>
      <c r="DB48" s="229">
        <f t="shared" si="224"/>
        <v>0.54398955839326046</v>
      </c>
      <c r="DC48" s="229">
        <f t="shared" si="225"/>
        <v>0.89</v>
      </c>
      <c r="DD48" s="229">
        <f t="shared" si="226"/>
        <v>0.8434880185276229</v>
      </c>
      <c r="DE48" s="229">
        <f t="shared" si="227"/>
        <v>0.25384856544964024</v>
      </c>
      <c r="DF48" s="229">
        <f t="shared" si="228"/>
        <v>30.095100330263563</v>
      </c>
      <c r="DH48" s="234">
        <f t="shared" si="124"/>
        <v>6.5119999999999997E-2</v>
      </c>
      <c r="DI48" s="234">
        <f t="shared" si="125"/>
        <v>8.7999999999999995E-2</v>
      </c>
      <c r="DJ48" s="234">
        <f t="shared" si="126"/>
        <v>0.11240301834788037</v>
      </c>
      <c r="DK48" s="234">
        <f t="shared" si="229"/>
        <v>8.8507672782626778E-2</v>
      </c>
      <c r="DL48" s="234">
        <f t="shared" si="230"/>
        <v>2.3645596942394279E-2</v>
      </c>
      <c r="DM48" s="234">
        <f t="shared" si="231"/>
        <v>26.715872419860627</v>
      </c>
      <c r="DO48" s="229">
        <f t="shared" si="127"/>
        <v>2.38</v>
      </c>
      <c r="DP48" s="229">
        <f t="shared" si="128"/>
        <v>3.49</v>
      </c>
      <c r="DQ48" s="229">
        <f t="shared" si="129"/>
        <v>3.792640008381007</v>
      </c>
      <c r="DR48" s="229">
        <f t="shared" si="130"/>
        <v>2.9704685252630711</v>
      </c>
      <c r="DS48" s="229">
        <f t="shared" si="131"/>
        <v>2.6661225290776187</v>
      </c>
      <c r="DT48" s="229">
        <f t="shared" si="132"/>
        <v>2.38</v>
      </c>
      <c r="DU48" s="229">
        <f t="shared" si="133"/>
        <v>1.9887999999999999</v>
      </c>
      <c r="DV48" s="229">
        <f t="shared" si="134"/>
        <v>3.3466551699929608</v>
      </c>
      <c r="DW48" s="229">
        <f t="shared" si="232"/>
        <v>2.8768357790893324</v>
      </c>
      <c r="DX48" s="229">
        <f t="shared" si="233"/>
        <v>0.62915638538085172</v>
      </c>
      <c r="DY48" s="229">
        <f t="shared" si="234"/>
        <v>21.869735838032867</v>
      </c>
      <c r="EA48" s="235">
        <f t="shared" si="135"/>
        <v>0.14000000000000001</v>
      </c>
      <c r="EB48" s="235">
        <f t="shared" si="136"/>
        <v>0.21394857759670488</v>
      </c>
      <c r="EC48" s="235">
        <f t="shared" si="137"/>
        <v>0.14000000000000001</v>
      </c>
      <c r="ED48" s="235">
        <f t="shared" si="138"/>
        <v>0.16799677538615398</v>
      </c>
      <c r="EE48" s="235">
        <f t="shared" si="139"/>
        <v>0.13951501641324976</v>
      </c>
      <c r="EF48" s="235">
        <f t="shared" si="140"/>
        <v>0.16029207387922173</v>
      </c>
      <c r="EG48" s="235">
        <f t="shared" si="141"/>
        <v>3.2379026614766743E-2</v>
      </c>
      <c r="EH48" s="235">
        <f t="shared" si="235"/>
        <v>20.200017275441812</v>
      </c>
      <c r="EJ48" s="229">
        <f t="shared" si="142"/>
        <v>7.5426305676856105</v>
      </c>
      <c r="EK48" s="229">
        <f t="shared" si="143"/>
        <v>16.40237236154136</v>
      </c>
      <c r="EL48" s="229">
        <f t="shared" si="144"/>
        <v>6.91</v>
      </c>
      <c r="EM48" s="229">
        <f t="shared" si="145"/>
        <v>14.4</v>
      </c>
      <c r="EN48" s="229">
        <f t="shared" si="146"/>
        <v>20.7299159350308</v>
      </c>
      <c r="EO48" s="229">
        <f t="shared" si="236"/>
        <v>21.084205365833842</v>
      </c>
      <c r="EP48" s="229">
        <f t="shared" si="147"/>
        <v>20.704307600466542</v>
      </c>
      <c r="EQ48" s="229">
        <f t="shared" si="148"/>
        <v>15.396204547222592</v>
      </c>
      <c r="ER48" s="229">
        <f t="shared" si="149"/>
        <v>6.1193256374736684</v>
      </c>
      <c r="ES48" s="229">
        <f t="shared" si="237"/>
        <v>39.745676401639962</v>
      </c>
      <c r="EU48" s="238">
        <f t="shared" si="191"/>
        <v>1.5999692893919427E-2</v>
      </c>
      <c r="EV48" s="238">
        <f t="shared" si="151"/>
        <v>1.5999692893919427E-2</v>
      </c>
      <c r="EW48" s="238" t="e">
        <f t="shared" si="152"/>
        <v>#DIV/0!</v>
      </c>
      <c r="EX48" s="238" t="e">
        <f t="shared" si="238"/>
        <v>#DIV/0!</v>
      </c>
      <c r="EZ48" s="240">
        <f t="shared" si="153"/>
        <v>2.7359474848602221E-2</v>
      </c>
      <c r="FA48" s="240">
        <f t="shared" si="154"/>
        <v>2.7359474848602221E-2</v>
      </c>
      <c r="FB48" s="240" t="e">
        <f t="shared" si="155"/>
        <v>#DIV/0!</v>
      </c>
      <c r="FC48" s="240" t="e">
        <f t="shared" si="239"/>
        <v>#DIV/0!</v>
      </c>
      <c r="FE48" s="236">
        <f t="shared" si="156"/>
        <v>0.9</v>
      </c>
      <c r="FF48" s="236">
        <f t="shared" si="157"/>
        <v>1.2</v>
      </c>
      <c r="FG48" s="236">
        <f t="shared" si="158"/>
        <v>1.3291599494414861</v>
      </c>
      <c r="FH48" s="236">
        <f t="shared" si="159"/>
        <v>1.3199746637483529</v>
      </c>
      <c r="FI48" s="236">
        <f t="shared" si="160"/>
        <v>0.9</v>
      </c>
      <c r="FJ48" s="236">
        <f t="shared" si="161"/>
        <v>1.11997850257436</v>
      </c>
      <c r="FK48" s="236">
        <f t="shared" si="240"/>
        <v>1.1281855192940331</v>
      </c>
      <c r="FL48" s="236">
        <f t="shared" si="241"/>
        <v>0.19315058099684479</v>
      </c>
      <c r="FM48" s="236">
        <f t="shared" si="242"/>
        <v>17.120462698165952</v>
      </c>
      <c r="FO48" s="227">
        <f t="shared" si="162"/>
        <v>0.3</v>
      </c>
      <c r="FP48" s="227">
        <f t="shared" si="163"/>
        <v>0.32</v>
      </c>
      <c r="FQ48" s="227">
        <f t="shared" si="164"/>
        <v>0.35259928117679901</v>
      </c>
      <c r="FR48" s="227">
        <f t="shared" si="165"/>
        <v>0.3</v>
      </c>
      <c r="FS48" s="227">
        <f t="shared" si="166"/>
        <v>0.35999309011318709</v>
      </c>
      <c r="FT48" s="227">
        <f t="shared" si="243"/>
        <v>0.32651847425799724</v>
      </c>
      <c r="FU48" s="227">
        <f t="shared" si="244"/>
        <v>2.8503104465937758E-2</v>
      </c>
      <c r="FV48" s="227">
        <f t="shared" si="245"/>
        <v>8.7294002370647323</v>
      </c>
      <c r="FX48" s="230">
        <f t="shared" si="167"/>
        <v>2.94</v>
      </c>
      <c r="FY48" s="230">
        <f t="shared" si="168"/>
        <v>1.6799677538615401</v>
      </c>
      <c r="FZ48" s="230">
        <f t="shared" si="169"/>
        <v>2.94</v>
      </c>
      <c r="GA48" s="230">
        <f t="shared" si="170"/>
        <v>3.978953774684213</v>
      </c>
      <c r="GB48" s="230">
        <f t="shared" si="246"/>
        <v>2.8847303821364383</v>
      </c>
      <c r="GC48" s="230">
        <f t="shared" si="247"/>
        <v>0.94072441671373042</v>
      </c>
      <c r="GD48" s="230">
        <f t="shared" si="248"/>
        <v>32.610479736308243</v>
      </c>
      <c r="GF48" s="231">
        <f t="shared" si="171"/>
        <v>0.06</v>
      </c>
      <c r="GG48" s="231">
        <f t="shared" si="172"/>
        <v>0.05</v>
      </c>
      <c r="GH48" s="231">
        <f t="shared" si="173"/>
        <v>0.06</v>
      </c>
      <c r="GI48" s="231">
        <f t="shared" si="174"/>
        <v>6.399877157567771E-2</v>
      </c>
      <c r="GJ48" s="245">
        <f t="shared" si="187"/>
        <v>5.8499692893919424E-2</v>
      </c>
      <c r="GK48" s="231">
        <f t="shared" si="188"/>
        <v>5.9717805402918281E-3</v>
      </c>
      <c r="GL48" s="231">
        <f t="shared" si="249"/>
        <v>10.208225453628915</v>
      </c>
      <c r="GN48" s="246">
        <f t="shared" si="175"/>
        <v>0.18</v>
      </c>
      <c r="GO48" s="246">
        <f t="shared" si="176"/>
        <v>0.18</v>
      </c>
      <c r="GP48" s="246">
        <f t="shared" si="177"/>
        <v>0.16799677538615398</v>
      </c>
      <c r="GQ48" s="247">
        <f t="shared" si="189"/>
        <v>0.17599892512871798</v>
      </c>
      <c r="GR48" s="246">
        <f t="shared" si="190"/>
        <v>6.9300649619475343E-3</v>
      </c>
      <c r="GS48" s="246">
        <f t="shared" si="250"/>
        <v>3.9375609577610686</v>
      </c>
      <c r="GU48" s="249">
        <f t="shared" si="178"/>
        <v>2.1919579264669614E-2</v>
      </c>
      <c r="GV48" s="249">
        <f t="shared" si="179"/>
        <v>2.1919579264669614E-2</v>
      </c>
      <c r="GW48" s="249" t="e">
        <f t="shared" si="180"/>
        <v>#DIV/0!</v>
      </c>
      <c r="GX48" s="249" t="e">
        <f t="shared" si="251"/>
        <v>#DIV/0!</v>
      </c>
      <c r="GZ48" s="240">
        <f t="shared" si="181"/>
        <v>2.3999539340879145E-2</v>
      </c>
      <c r="HA48" s="240">
        <f t="shared" si="182"/>
        <v>2.3999539340879145E-2</v>
      </c>
      <c r="HB48" s="240" t="e">
        <f t="shared" si="183"/>
        <v>#DIV/0!</v>
      </c>
      <c r="HC48" s="240" t="e">
        <f t="shared" si="252"/>
        <v>#DIV/0!</v>
      </c>
      <c r="HE48" s="234">
        <f t="shared" si="184"/>
        <v>9.4767972718820578E-2</v>
      </c>
      <c r="HF48" s="251">
        <f t="shared" si="185"/>
        <v>9.4767972718820578E-2</v>
      </c>
      <c r="HG48" s="234" t="e">
        <f t="shared" si="186"/>
        <v>#DIV/0!</v>
      </c>
      <c r="HH48" s="234" t="e">
        <f t="shared" si="253"/>
        <v>#DIV/0!</v>
      </c>
    </row>
    <row r="49" spans="2:216" ht="15.6" x14ac:dyDescent="0.25">
      <c r="B49">
        <v>45</v>
      </c>
      <c r="C49" s="124">
        <f t="shared" si="52"/>
        <v>80.081117751305101</v>
      </c>
      <c r="D49" s="124">
        <f t="shared" si="53"/>
        <v>173.83055364691199</v>
      </c>
      <c r="E49" s="29">
        <f t="shared" si="201"/>
        <v>2.0048612697665988</v>
      </c>
      <c r="F49" s="29">
        <f t="shared" si="202"/>
        <v>1.9474129762991834</v>
      </c>
      <c r="G49" s="29">
        <f t="shared" si="203"/>
        <v>1.9794031254009199</v>
      </c>
      <c r="H49" s="29">
        <f t="shared" si="204"/>
        <v>2.0048612697665988</v>
      </c>
      <c r="I49" s="29">
        <f t="shared" si="205"/>
        <v>1.9664226568521239</v>
      </c>
      <c r="J49" s="125">
        <f t="shared" si="206"/>
        <v>1.9805922596170848</v>
      </c>
      <c r="K49" s="126">
        <f t="shared" si="207"/>
        <v>2.4904950469057559E-2</v>
      </c>
      <c r="L49" s="126">
        <f t="shared" si="55"/>
        <v>1.257449651644732</v>
      </c>
      <c r="N49" s="138">
        <f t="shared" si="56"/>
        <v>415.92437451958784</v>
      </c>
      <c r="O49" s="138">
        <f t="shared" si="57"/>
        <v>325.79239999999999</v>
      </c>
      <c r="P49" s="138">
        <f t="shared" si="58"/>
        <v>359.71197528232085</v>
      </c>
      <c r="Q49" s="138">
        <f t="shared" si="59"/>
        <v>424.40011310384119</v>
      </c>
      <c r="R49" s="138">
        <f t="shared" si="60"/>
        <v>415.92437451958784</v>
      </c>
      <c r="S49" s="138">
        <f t="shared" si="61"/>
        <v>387.54750000000001</v>
      </c>
      <c r="T49" s="138">
        <f t="shared" si="62"/>
        <v>388.21678957088966</v>
      </c>
      <c r="U49" s="138">
        <f t="shared" si="63"/>
        <v>38.870117645107776</v>
      </c>
      <c r="V49" s="138">
        <f t="shared" si="64"/>
        <v>10.012477226467292</v>
      </c>
      <c r="X49" s="227">
        <f t="shared" si="65"/>
        <v>0.44800141874999999</v>
      </c>
      <c r="Y49" s="227">
        <f t="shared" si="66"/>
        <v>0.47</v>
      </c>
      <c r="Z49" s="227">
        <f t="shared" si="67"/>
        <v>0.44800141874999999</v>
      </c>
      <c r="AA49" s="227">
        <f t="shared" si="68"/>
        <v>0.45533427916666663</v>
      </c>
      <c r="AB49" s="227">
        <f t="shared" si="69"/>
        <v>1.2700886806477343E-2</v>
      </c>
      <c r="AC49" s="227">
        <f t="shared" si="70"/>
        <v>2.7893544122621217</v>
      </c>
      <c r="AE49" s="228">
        <f t="shared" si="71"/>
        <v>4.4206671116089353</v>
      </c>
      <c r="AF49" s="228">
        <f t="shared" si="72"/>
        <v>5.2850000000000001</v>
      </c>
      <c r="AG49" s="228">
        <f t="shared" si="73"/>
        <v>4.4206671116089353</v>
      </c>
      <c r="AH49" s="228">
        <f t="shared" si="74"/>
        <v>7.1810320532625758</v>
      </c>
      <c r="AI49" s="228">
        <f t="shared" si="75"/>
        <v>5.2850000000000001</v>
      </c>
      <c r="AJ49" s="228">
        <f t="shared" si="76"/>
        <v>6.0941730608641347</v>
      </c>
      <c r="AK49" s="228">
        <f t="shared" si="77"/>
        <v>5.4578983250234829</v>
      </c>
      <c r="AL49" s="228">
        <f t="shared" si="78"/>
        <v>5.449205380338296</v>
      </c>
      <c r="AM49" s="228">
        <f t="shared" si="79"/>
        <v>0.96479628727241129</v>
      </c>
      <c r="AN49" s="228">
        <f t="shared" si="80"/>
        <v>17.705265629252445</v>
      </c>
      <c r="AP49" s="229">
        <f t="shared" si="192"/>
        <v>1.4143258426966292</v>
      </c>
      <c r="AQ49" s="229">
        <f t="shared" si="193"/>
        <v>1.4</v>
      </c>
      <c r="AR49" s="229">
        <f t="shared" si="194"/>
        <v>1.47</v>
      </c>
      <c r="AS49" s="229">
        <f t="shared" si="195"/>
        <v>1.38382277624049</v>
      </c>
      <c r="AT49" s="229">
        <f t="shared" si="196"/>
        <v>1.4143258426966292</v>
      </c>
      <c r="AU49" s="229">
        <f t="shared" si="197"/>
        <v>0.8404879409658772</v>
      </c>
      <c r="AV49" s="229">
        <f t="shared" si="198"/>
        <v>1.4</v>
      </c>
      <c r="AW49" s="229">
        <f t="shared" si="199"/>
        <v>1.4499999972307513</v>
      </c>
      <c r="AX49" s="229">
        <f t="shared" si="200"/>
        <v>1.4136085770335112</v>
      </c>
      <c r="AY49" s="229">
        <f t="shared" si="90"/>
        <v>1.3540634418737652</v>
      </c>
      <c r="AZ49" s="229">
        <f t="shared" si="91"/>
        <v>0.19439637118870368</v>
      </c>
      <c r="BA49" s="229">
        <f t="shared" si="92"/>
        <v>14.356518696029209</v>
      </c>
      <c r="BC49" s="230">
        <f t="shared" si="93"/>
        <v>9.65</v>
      </c>
      <c r="BD49" s="230">
        <f t="shared" si="94"/>
        <v>11.73</v>
      </c>
      <c r="BE49" s="230">
        <f t="shared" si="95"/>
        <v>9.65</v>
      </c>
      <c r="BF49" s="230">
        <f t="shared" si="96"/>
        <v>9.2001230769229121</v>
      </c>
      <c r="BG49" s="230">
        <f t="shared" si="97"/>
        <v>10.057530769230729</v>
      </c>
      <c r="BH49" s="230">
        <f t="shared" si="98"/>
        <v>1.1349690061022448</v>
      </c>
      <c r="BI49" s="230">
        <f t="shared" si="99"/>
        <v>11.284767923101818</v>
      </c>
      <c r="BK49" s="227">
        <f t="shared" si="208"/>
        <v>19.600000000000001</v>
      </c>
      <c r="BL49" s="227">
        <f t="shared" si="209"/>
        <v>31.73</v>
      </c>
      <c r="BM49" s="227">
        <f t="shared" si="210"/>
        <v>40.46553916160665</v>
      </c>
      <c r="BN49" s="227">
        <f t="shared" si="211"/>
        <v>22.85132077236247</v>
      </c>
      <c r="BO49" s="227">
        <f t="shared" si="212"/>
        <v>19.600000000000001</v>
      </c>
      <c r="BP49" s="227">
        <f t="shared" si="213"/>
        <v>30.069979340310613</v>
      </c>
      <c r="BQ49" s="227">
        <f t="shared" si="214"/>
        <v>31.86</v>
      </c>
      <c r="BR49" s="227">
        <f t="shared" si="100"/>
        <v>28.025262753468535</v>
      </c>
      <c r="BS49" s="227">
        <f t="shared" si="101"/>
        <v>7.7040185552841827</v>
      </c>
      <c r="BT49" s="227">
        <f t="shared" si="215"/>
        <v>27.489549778906884</v>
      </c>
      <c r="BV49" s="231">
        <f t="shared" si="102"/>
        <v>0.26</v>
      </c>
      <c r="BW49" s="231">
        <f t="shared" si="103"/>
        <v>0.31471499324731922</v>
      </c>
      <c r="BX49" s="231">
        <f t="shared" si="104"/>
        <v>0.3233753507697586</v>
      </c>
      <c r="BY49" s="231">
        <f t="shared" si="105"/>
        <v>0.26</v>
      </c>
      <c r="BZ49" s="231">
        <f t="shared" si="106"/>
        <v>0.33635595020608461</v>
      </c>
      <c r="CA49" s="231">
        <f t="shared" si="107"/>
        <v>0.31219681634979102</v>
      </c>
      <c r="CB49" s="231">
        <f t="shared" si="108"/>
        <v>0.48</v>
      </c>
      <c r="CC49" s="231">
        <f t="shared" si="109"/>
        <v>0.45236738231406742</v>
      </c>
      <c r="CD49" s="231">
        <f t="shared" si="110"/>
        <v>0.34237631161087756</v>
      </c>
      <c r="CE49" s="231">
        <f t="shared" si="111"/>
        <v>8.1664173296704681E-2</v>
      </c>
      <c r="CF49" s="231">
        <f t="shared" si="216"/>
        <v>23.852168075669564</v>
      </c>
      <c r="CH49" s="232">
        <f t="shared" si="112"/>
        <v>1.4739273694898203</v>
      </c>
      <c r="CI49" s="232">
        <f t="shared" si="113"/>
        <v>1.52</v>
      </c>
      <c r="CJ49" s="232">
        <f t="shared" si="114"/>
        <v>2.1</v>
      </c>
      <c r="CK49" s="232">
        <f t="shared" si="115"/>
        <v>1.9780748308029916</v>
      </c>
      <c r="CL49" s="232">
        <f t="shared" si="116"/>
        <v>1.9032239026935569</v>
      </c>
      <c r="CM49" s="232">
        <f t="shared" si="117"/>
        <v>1.5302576554225187</v>
      </c>
      <c r="CN49" s="232">
        <f t="shared" si="118"/>
        <v>1.4768149809689333</v>
      </c>
      <c r="CO49" s="232">
        <f t="shared" si="119"/>
        <v>1.8785714330437278</v>
      </c>
      <c r="CP49" s="232">
        <f t="shared" si="120"/>
        <v>1.52</v>
      </c>
      <c r="CQ49" s="232">
        <f t="shared" si="121"/>
        <v>1.4817622971196671</v>
      </c>
      <c r="CR49" s="232">
        <f t="shared" si="122"/>
        <v>1.6862632469541214</v>
      </c>
      <c r="CS49" s="232">
        <f t="shared" si="123"/>
        <v>0.24738339217044605</v>
      </c>
      <c r="CT49" s="232">
        <f t="shared" si="217"/>
        <v>14.67050845218218</v>
      </c>
      <c r="CV49" s="229">
        <f t="shared" si="218"/>
        <v>0.83</v>
      </c>
      <c r="CW49" s="229">
        <f t="shared" si="219"/>
        <v>1.19</v>
      </c>
      <c r="CX49" s="229">
        <f t="shared" si="220"/>
        <v>0.74969565264869131</v>
      </c>
      <c r="CY49" s="229">
        <f t="shared" si="221"/>
        <v>0.5193985489029439</v>
      </c>
      <c r="CZ49" s="229">
        <f t="shared" si="222"/>
        <v>1.1977179535506981</v>
      </c>
      <c r="DA49" s="229">
        <f t="shared" si="223"/>
        <v>0.83</v>
      </c>
      <c r="DB49" s="229">
        <f t="shared" si="224"/>
        <v>0.54455160070887465</v>
      </c>
      <c r="DC49" s="229">
        <f t="shared" si="225"/>
        <v>0.89</v>
      </c>
      <c r="DD49" s="229">
        <f t="shared" si="226"/>
        <v>0.84392046947640098</v>
      </c>
      <c r="DE49" s="229">
        <f t="shared" si="227"/>
        <v>0.25390355195989223</v>
      </c>
      <c r="DF49" s="229">
        <f t="shared" si="228"/>
        <v>30.086194273427598</v>
      </c>
      <c r="DH49" s="234">
        <f t="shared" si="124"/>
        <v>6.6599999999999993E-2</v>
      </c>
      <c r="DI49" s="234">
        <f t="shared" si="125"/>
        <v>0.09</v>
      </c>
      <c r="DJ49" s="234">
        <f t="shared" si="126"/>
        <v>0.11237680414961905</v>
      </c>
      <c r="DK49" s="234">
        <f t="shared" si="229"/>
        <v>8.9658934716539684E-2</v>
      </c>
      <c r="DL49" s="234">
        <f t="shared" si="230"/>
        <v>2.2890307854719471E-2</v>
      </c>
      <c r="DM49" s="234">
        <f t="shared" si="231"/>
        <v>25.530425860052986</v>
      </c>
      <c r="DO49" s="229">
        <f t="shared" si="127"/>
        <v>2.38</v>
      </c>
      <c r="DP49" s="229">
        <f t="shared" si="128"/>
        <v>3.49</v>
      </c>
      <c r="DQ49" s="229">
        <f t="shared" si="129"/>
        <v>3.7931771966929402</v>
      </c>
      <c r="DR49" s="229">
        <f t="shared" si="130"/>
        <v>2.9708883894256268</v>
      </c>
      <c r="DS49" s="229">
        <f t="shared" si="131"/>
        <v>2.6683124159755462</v>
      </c>
      <c r="DT49" s="229">
        <f t="shared" si="132"/>
        <v>2.38</v>
      </c>
      <c r="DU49" s="229">
        <f t="shared" si="133"/>
        <v>2.0339999999999998</v>
      </c>
      <c r="DV49" s="229">
        <f t="shared" si="134"/>
        <v>3.3481918096878842</v>
      </c>
      <c r="DW49" s="229">
        <f t="shared" si="232"/>
        <v>2.8830712264727492</v>
      </c>
      <c r="DX49" s="229">
        <f t="shared" si="233"/>
        <v>0.62035808050384889</v>
      </c>
      <c r="DY49" s="229">
        <f t="shared" si="234"/>
        <v>21.517265158336613</v>
      </c>
      <c r="EA49" s="235">
        <f t="shared" si="135"/>
        <v>0.14000000000000001</v>
      </c>
      <c r="EB49" s="235">
        <f t="shared" si="136"/>
        <v>0.2141327585930099</v>
      </c>
      <c r="EC49" s="235">
        <f t="shared" si="137"/>
        <v>0.14000000000000001</v>
      </c>
      <c r="ED49" s="235">
        <f t="shared" si="138"/>
        <v>0.16817034727774069</v>
      </c>
      <c r="EE49" s="235">
        <f t="shared" si="139"/>
        <v>0.13948512750171224</v>
      </c>
      <c r="EF49" s="235">
        <f t="shared" si="140"/>
        <v>0.16035764667449257</v>
      </c>
      <c r="EG49" s="235">
        <f t="shared" si="141"/>
        <v>3.2470488776079852E-2</v>
      </c>
      <c r="EH49" s="235">
        <f t="shared" si="235"/>
        <v>20.248793524633832</v>
      </c>
      <c r="EJ49" s="229">
        <f t="shared" si="142"/>
        <v>7.5426305676856105</v>
      </c>
      <c r="EK49" s="229">
        <f t="shared" si="143"/>
        <v>16.453603209614752</v>
      </c>
      <c r="EL49" s="229">
        <f t="shared" si="144"/>
        <v>6.91</v>
      </c>
      <c r="EM49" s="229">
        <f t="shared" si="145"/>
        <v>14.4</v>
      </c>
      <c r="EN49" s="229">
        <f t="shared" si="146"/>
        <v>20.877995609823135</v>
      </c>
      <c r="EO49" s="229">
        <f t="shared" si="236"/>
        <v>21.214656290227786</v>
      </c>
      <c r="EP49" s="229">
        <f t="shared" si="147"/>
        <v>20.761916746938333</v>
      </c>
      <c r="EQ49" s="229">
        <f t="shared" si="148"/>
        <v>15.451543203469944</v>
      </c>
      <c r="ER49" s="229">
        <f t="shared" si="149"/>
        <v>6.1708812455790643</v>
      </c>
      <c r="ES49" s="229">
        <f t="shared" si="237"/>
        <v>39.936989880682425</v>
      </c>
      <c r="EU49" s="238">
        <f t="shared" si="191"/>
        <v>1.601622355026102E-2</v>
      </c>
      <c r="EV49" s="238">
        <f t="shared" si="151"/>
        <v>1.601622355026102E-2</v>
      </c>
      <c r="EW49" s="238" t="e">
        <f t="shared" si="152"/>
        <v>#DIV/0!</v>
      </c>
      <c r="EX49" s="238" t="e">
        <f t="shared" si="238"/>
        <v>#DIV/0!</v>
      </c>
      <c r="EZ49" s="240">
        <f t="shared" si="153"/>
        <v>2.7387742270946345E-2</v>
      </c>
      <c r="FA49" s="240">
        <f t="shared" si="154"/>
        <v>2.7387742270946345E-2</v>
      </c>
      <c r="FB49" s="240" t="e">
        <f t="shared" si="155"/>
        <v>#DIV/0!</v>
      </c>
      <c r="FC49" s="240" t="e">
        <f t="shared" si="239"/>
        <v>#DIV/0!</v>
      </c>
      <c r="FE49" s="236">
        <f t="shared" si="156"/>
        <v>0.9</v>
      </c>
      <c r="FF49" s="236">
        <f t="shared" si="157"/>
        <v>1.2</v>
      </c>
      <c r="FG49" s="236">
        <f t="shared" si="158"/>
        <v>1.3295398712792932</v>
      </c>
      <c r="FH49" s="236">
        <f t="shared" si="159"/>
        <v>1.3213384428965342</v>
      </c>
      <c r="FI49" s="236">
        <f t="shared" si="160"/>
        <v>0.9</v>
      </c>
      <c r="FJ49" s="236">
        <f t="shared" si="161"/>
        <v>1.1211356485182715</v>
      </c>
      <c r="FK49" s="236">
        <f t="shared" si="240"/>
        <v>1.12866899378235</v>
      </c>
      <c r="FL49" s="236">
        <f t="shared" si="241"/>
        <v>0.19349134720814143</v>
      </c>
      <c r="FM49" s="236">
        <f t="shared" si="242"/>
        <v>17.143320873883585</v>
      </c>
      <c r="FO49" s="227">
        <f t="shared" si="162"/>
        <v>0.3</v>
      </c>
      <c r="FP49" s="227">
        <f t="shared" si="163"/>
        <v>0.32</v>
      </c>
      <c r="FQ49" s="227">
        <f t="shared" si="164"/>
        <v>0.35254971377661537</v>
      </c>
      <c r="FR49" s="227">
        <f t="shared" si="165"/>
        <v>0.3</v>
      </c>
      <c r="FS49" s="227">
        <f t="shared" si="166"/>
        <v>0.36036502988087293</v>
      </c>
      <c r="FT49" s="227">
        <f t="shared" si="243"/>
        <v>0.32658294873149762</v>
      </c>
      <c r="FU49" s="227">
        <f t="shared" si="244"/>
        <v>2.8601326167748398E-2</v>
      </c>
      <c r="FV49" s="227">
        <f t="shared" si="245"/>
        <v>8.7577524420183899</v>
      </c>
      <c r="FX49" s="230">
        <f t="shared" si="167"/>
        <v>2.94</v>
      </c>
      <c r="FY49" s="230">
        <f t="shared" si="168"/>
        <v>1.6817034727774072</v>
      </c>
      <c r="FZ49" s="230">
        <f t="shared" si="169"/>
        <v>2.94</v>
      </c>
      <c r="GA49" s="230">
        <f t="shared" si="170"/>
        <v>3.9852889025156886</v>
      </c>
      <c r="GB49" s="230">
        <f t="shared" si="246"/>
        <v>2.8867480938232735</v>
      </c>
      <c r="GC49" s="230">
        <f t="shared" si="247"/>
        <v>0.94244292101203364</v>
      </c>
      <c r="GD49" s="230">
        <f t="shared" si="248"/>
        <v>32.647217227875302</v>
      </c>
      <c r="GF49" s="231">
        <f t="shared" si="171"/>
        <v>0.06</v>
      </c>
      <c r="GG49" s="231">
        <f t="shared" si="172"/>
        <v>0.05</v>
      </c>
      <c r="GH49" s="231">
        <f t="shared" si="173"/>
        <v>0.06</v>
      </c>
      <c r="GI49" s="231">
        <f t="shared" si="174"/>
        <v>6.4064894201044081E-2</v>
      </c>
      <c r="GJ49" s="245">
        <f t="shared" si="187"/>
        <v>5.8516223550261016E-2</v>
      </c>
      <c r="GK49" s="231">
        <f t="shared" si="188"/>
        <v>5.9921335836934765E-3</v>
      </c>
      <c r="GL49" s="231">
        <f t="shared" si="249"/>
        <v>10.240123542057846</v>
      </c>
      <c r="GN49" s="246">
        <f t="shared" si="175"/>
        <v>0.18</v>
      </c>
      <c r="GO49" s="246">
        <f t="shared" si="176"/>
        <v>0.18</v>
      </c>
      <c r="GP49" s="246">
        <f t="shared" si="177"/>
        <v>0.16817034727774069</v>
      </c>
      <c r="GQ49" s="247">
        <f t="shared" si="189"/>
        <v>0.17605678242591358</v>
      </c>
      <c r="GR49" s="246">
        <f t="shared" si="190"/>
        <v>6.8298531836161981E-3</v>
      </c>
      <c r="GS49" s="246">
        <f t="shared" si="250"/>
        <v>3.8793468161274998</v>
      </c>
      <c r="GU49" s="249">
        <f t="shared" si="178"/>
        <v>2.1942226263857598E-2</v>
      </c>
      <c r="GV49" s="249">
        <f t="shared" si="179"/>
        <v>2.1942226263857598E-2</v>
      </c>
      <c r="GW49" s="249" t="e">
        <f t="shared" si="180"/>
        <v>#DIV/0!</v>
      </c>
      <c r="GX49" s="249" t="e">
        <f t="shared" si="251"/>
        <v>#DIV/0!</v>
      </c>
      <c r="GZ49" s="240">
        <f t="shared" si="181"/>
        <v>2.4024335325391534E-2</v>
      </c>
      <c r="HA49" s="240">
        <f t="shared" si="182"/>
        <v>2.4024335325391534E-2</v>
      </c>
      <c r="HB49" s="240" t="e">
        <f t="shared" si="183"/>
        <v>#DIV/0!</v>
      </c>
      <c r="HC49" s="240" t="e">
        <f t="shared" si="252"/>
        <v>#DIV/0!</v>
      </c>
      <c r="HE49" s="234">
        <f t="shared" si="184"/>
        <v>9.4866330124053058E-2</v>
      </c>
      <c r="HF49" s="251">
        <f t="shared" si="185"/>
        <v>9.4866330124053058E-2</v>
      </c>
      <c r="HG49" s="234" t="e">
        <f t="shared" si="186"/>
        <v>#DIV/0!</v>
      </c>
      <c r="HH49" s="234" t="e">
        <f t="shared" si="253"/>
        <v>#DIV/0!</v>
      </c>
    </row>
    <row r="50" spans="2:216" ht="15.6" x14ac:dyDescent="0.25">
      <c r="B50">
        <v>46</v>
      </c>
      <c r="C50" s="124">
        <f t="shared" si="52"/>
        <v>80.146285233283834</v>
      </c>
      <c r="D50" s="124">
        <f t="shared" si="53"/>
        <v>173.7576112229649</v>
      </c>
      <c r="E50" s="29">
        <f t="shared" si="201"/>
        <v>2.00535595200075</v>
      </c>
      <c r="F50" s="29">
        <f t="shared" si="202"/>
        <v>1.9474936476919924</v>
      </c>
      <c r="G50" s="29">
        <f t="shared" si="203"/>
        <v>1.9798818115467858</v>
      </c>
      <c r="H50" s="29">
        <f t="shared" si="204"/>
        <v>2.00535595200075</v>
      </c>
      <c r="I50" s="29">
        <f t="shared" si="205"/>
        <v>1.966809816155324</v>
      </c>
      <c r="J50" s="125">
        <f t="shared" si="206"/>
        <v>1.9809794358791204</v>
      </c>
      <c r="K50" s="126">
        <f t="shared" si="207"/>
        <v>2.505848154448544E-2</v>
      </c>
      <c r="L50" s="126">
        <f t="shared" si="55"/>
        <v>1.264954147964942</v>
      </c>
      <c r="N50" s="138">
        <f t="shared" si="56"/>
        <v>416.00568153461529</v>
      </c>
      <c r="O50" s="138">
        <f t="shared" si="57"/>
        <v>325.79239999999999</v>
      </c>
      <c r="P50" s="138">
        <f t="shared" si="58"/>
        <v>358.1956164969028</v>
      </c>
      <c r="Q50" s="138">
        <f t="shared" si="59"/>
        <v>424.66287455438078</v>
      </c>
      <c r="R50" s="138">
        <f t="shared" si="60"/>
        <v>416.00568153461529</v>
      </c>
      <c r="S50" s="138">
        <f t="shared" si="61"/>
        <v>386.30280000000005</v>
      </c>
      <c r="T50" s="138">
        <f t="shared" si="62"/>
        <v>387.8275090200857</v>
      </c>
      <c r="U50" s="138">
        <f t="shared" si="63"/>
        <v>39.175480877195696</v>
      </c>
      <c r="V50" s="138">
        <f t="shared" si="64"/>
        <v>10.101264084174799</v>
      </c>
      <c r="X50" s="227">
        <f t="shared" si="65"/>
        <v>0.44747605639999999</v>
      </c>
      <c r="Y50" s="227">
        <f t="shared" si="66"/>
        <v>0.47</v>
      </c>
      <c r="Z50" s="227">
        <f t="shared" si="67"/>
        <v>0.44747605639999999</v>
      </c>
      <c r="AA50" s="227">
        <f t="shared" si="68"/>
        <v>0.4549840376</v>
      </c>
      <c r="AB50" s="227">
        <f t="shared" si="69"/>
        <v>1.300420490067194E-2</v>
      </c>
      <c r="AC50" s="227">
        <f t="shared" si="70"/>
        <v>2.8581672819266264</v>
      </c>
      <c r="AE50" s="228">
        <f t="shared" si="71"/>
        <v>4.4217112285119011</v>
      </c>
      <c r="AF50" s="228">
        <f t="shared" si="72"/>
        <v>5.2850000000000001</v>
      </c>
      <c r="AG50" s="228">
        <f t="shared" si="73"/>
        <v>4.4217112285119011</v>
      </c>
      <c r="AH50" s="228">
        <f t="shared" si="74"/>
        <v>7.1868739226509515</v>
      </c>
      <c r="AI50" s="228">
        <f t="shared" si="75"/>
        <v>5.2850000000000001</v>
      </c>
      <c r="AJ50" s="228">
        <f t="shared" si="76"/>
        <v>6.0991323062472622</v>
      </c>
      <c r="AK50" s="228">
        <f t="shared" si="77"/>
        <v>5.4591146429032751</v>
      </c>
      <c r="AL50" s="228">
        <f t="shared" si="78"/>
        <v>5.4512204755464699</v>
      </c>
      <c r="AM50" s="228">
        <f t="shared" si="79"/>
        <v>0.96672833301529504</v>
      </c>
      <c r="AN50" s="228">
        <f t="shared" si="80"/>
        <v>17.734163153956512</v>
      </c>
      <c r="AP50" s="229">
        <f t="shared" si="192"/>
        <v>1.414976170108762</v>
      </c>
      <c r="AQ50" s="229">
        <f t="shared" si="193"/>
        <v>1.4</v>
      </c>
      <c r="AR50" s="229">
        <f t="shared" si="194"/>
        <v>1.47</v>
      </c>
      <c r="AS50" s="229">
        <f t="shared" si="195"/>
        <v>1.3813902165555239</v>
      </c>
      <c r="AT50" s="229">
        <f t="shared" si="196"/>
        <v>1.414976170108762</v>
      </c>
      <c r="AU50" s="229">
        <f t="shared" si="197"/>
        <v>0.85866606507665655</v>
      </c>
      <c r="AV50" s="229">
        <f t="shared" si="198"/>
        <v>1.4</v>
      </c>
      <c r="AW50" s="229">
        <f t="shared" si="199"/>
        <v>1.449999998216503</v>
      </c>
      <c r="AX50" s="229">
        <f t="shared" si="200"/>
        <v>1.411362972141496</v>
      </c>
      <c r="AY50" s="229">
        <f t="shared" si="90"/>
        <v>1.355707954689745</v>
      </c>
      <c r="AZ50" s="229">
        <f t="shared" si="91"/>
        <v>0.18831833883723845</v>
      </c>
      <c r="BA50" s="229">
        <f t="shared" si="92"/>
        <v>13.890774793036842</v>
      </c>
      <c r="BC50" s="230">
        <f t="shared" si="93"/>
        <v>9.65</v>
      </c>
      <c r="BD50" s="230">
        <f t="shared" si="94"/>
        <v>11.73</v>
      </c>
      <c r="BE50" s="230">
        <f t="shared" si="95"/>
        <v>9.65</v>
      </c>
      <c r="BF50" s="230">
        <f t="shared" si="96"/>
        <v>9.2001230769230151</v>
      </c>
      <c r="BG50" s="230">
        <f t="shared" si="97"/>
        <v>10.057530769230754</v>
      </c>
      <c r="BH50" s="230">
        <f t="shared" si="98"/>
        <v>1.1349690061022191</v>
      </c>
      <c r="BI50" s="230">
        <f t="shared" si="99"/>
        <v>11.284767923101533</v>
      </c>
      <c r="BK50" s="227">
        <f t="shared" si="208"/>
        <v>19.600000000000001</v>
      </c>
      <c r="BL50" s="227">
        <f t="shared" si="209"/>
        <v>31.73</v>
      </c>
      <c r="BM50" s="227">
        <f t="shared" si="210"/>
        <v>40.469372817096705</v>
      </c>
      <c r="BN50" s="227">
        <f t="shared" si="211"/>
        <v>22.857317632040765</v>
      </c>
      <c r="BO50" s="227">
        <f t="shared" si="212"/>
        <v>19.600000000000001</v>
      </c>
      <c r="BP50" s="227">
        <f t="shared" si="213"/>
        <v>29.926977219607007</v>
      </c>
      <c r="BQ50" s="227">
        <f t="shared" si="214"/>
        <v>31.86</v>
      </c>
      <c r="BR50" s="227">
        <f t="shared" si="100"/>
        <v>28.006238238392068</v>
      </c>
      <c r="BS50" s="227">
        <f t="shared" si="101"/>
        <v>7.6982455705290898</v>
      </c>
      <c r="BT50" s="227">
        <f t="shared" si="215"/>
        <v>27.48761009958141</v>
      </c>
      <c r="BV50" s="231">
        <f t="shared" si="102"/>
        <v>0.26</v>
      </c>
      <c r="BW50" s="231">
        <f t="shared" si="103"/>
        <v>0.31444694460172673</v>
      </c>
      <c r="BX50" s="231">
        <f t="shared" si="104"/>
        <v>0.3235677625863117</v>
      </c>
      <c r="BY50" s="231">
        <f t="shared" si="105"/>
        <v>0.26</v>
      </c>
      <c r="BZ50" s="231">
        <f t="shared" si="106"/>
        <v>0.3366266754194398</v>
      </c>
      <c r="CA50" s="231">
        <f t="shared" si="107"/>
        <v>0.31218708111352617</v>
      </c>
      <c r="CB50" s="231">
        <f t="shared" si="108"/>
        <v>0.48</v>
      </c>
      <c r="CC50" s="231">
        <f t="shared" si="109"/>
        <v>0.45207668164177317</v>
      </c>
      <c r="CD50" s="231">
        <f t="shared" si="110"/>
        <v>0.34236314317034722</v>
      </c>
      <c r="CE50" s="231">
        <f t="shared" si="111"/>
        <v>8.1612693204813652E-2</v>
      </c>
      <c r="CF50" s="231">
        <f t="shared" si="216"/>
        <v>23.838048818299988</v>
      </c>
      <c r="CH50" s="232">
        <f t="shared" si="112"/>
        <v>1.47427114867332</v>
      </c>
      <c r="CI50" s="232">
        <f t="shared" si="113"/>
        <v>1.52</v>
      </c>
      <c r="CJ50" s="232">
        <f t="shared" si="114"/>
        <v>2.1</v>
      </c>
      <c r="CK50" s="232">
        <f t="shared" si="115"/>
        <v>1.9796705635682472</v>
      </c>
      <c r="CL50" s="232">
        <f t="shared" si="116"/>
        <v>1.9004753756159805</v>
      </c>
      <c r="CM50" s="232">
        <f t="shared" si="117"/>
        <v>1.5312288832409444</v>
      </c>
      <c r="CN50" s="232">
        <f t="shared" si="118"/>
        <v>1.4771594336596472</v>
      </c>
      <c r="CO50" s="232">
        <f t="shared" si="119"/>
        <v>1.8800258959019647</v>
      </c>
      <c r="CP50" s="232">
        <f t="shared" si="120"/>
        <v>1.52</v>
      </c>
      <c r="CQ50" s="232">
        <f t="shared" si="121"/>
        <v>1.4819139025919148</v>
      </c>
      <c r="CR50" s="232">
        <f t="shared" si="122"/>
        <v>1.6864745203252016</v>
      </c>
      <c r="CS50" s="232">
        <f t="shared" si="123"/>
        <v>0.24730606444666028</v>
      </c>
      <c r="CT50" s="232">
        <f t="shared" si="217"/>
        <v>14.664085431837561</v>
      </c>
      <c r="CV50" s="229">
        <f t="shared" si="218"/>
        <v>0.83</v>
      </c>
      <c r="CW50" s="229">
        <f t="shared" si="219"/>
        <v>1.19</v>
      </c>
      <c r="CX50" s="229">
        <f t="shared" si="220"/>
        <v>0.75201243359131853</v>
      </c>
      <c r="CY50" s="229">
        <f t="shared" si="221"/>
        <v>0.51909861327286055</v>
      </c>
      <c r="CZ50" s="229">
        <f t="shared" si="222"/>
        <v>1.198454975169462</v>
      </c>
      <c r="DA50" s="229">
        <f t="shared" si="223"/>
        <v>0.83</v>
      </c>
      <c r="DB50" s="229">
        <f t="shared" si="224"/>
        <v>0.54499473958633005</v>
      </c>
      <c r="DC50" s="229">
        <f t="shared" si="225"/>
        <v>0.89</v>
      </c>
      <c r="DD50" s="229">
        <f t="shared" si="226"/>
        <v>0.84432009520249629</v>
      </c>
      <c r="DE50" s="229">
        <f t="shared" si="227"/>
        <v>0.25390894851752704</v>
      </c>
      <c r="DF50" s="229">
        <f t="shared" si="228"/>
        <v>30.072593316238809</v>
      </c>
      <c r="DH50" s="234">
        <f t="shared" si="124"/>
        <v>6.8080000000000002E-2</v>
      </c>
      <c r="DI50" s="234">
        <f t="shared" si="125"/>
        <v>9.1999999999999998E-2</v>
      </c>
      <c r="DJ50" s="234">
        <f t="shared" si="126"/>
        <v>0.11237533486912521</v>
      </c>
      <c r="DK50" s="234">
        <f t="shared" si="229"/>
        <v>9.0818444956375075E-2</v>
      </c>
      <c r="DL50" s="234">
        <f t="shared" si="230"/>
        <v>2.2171292858848436E-2</v>
      </c>
      <c r="DM50" s="234">
        <f t="shared" si="231"/>
        <v>24.412764245741585</v>
      </c>
      <c r="DO50" s="229">
        <f t="shared" si="127"/>
        <v>2.38</v>
      </c>
      <c r="DP50" s="229">
        <f t="shared" si="128"/>
        <v>3.49</v>
      </c>
      <c r="DQ50" s="229">
        <f t="shared" si="129"/>
        <v>3.7939202464361195</v>
      </c>
      <c r="DR50" s="229">
        <f t="shared" si="130"/>
        <v>2.9714691538186808</v>
      </c>
      <c r="DS50" s="229">
        <f t="shared" si="131"/>
        <v>2.6700400014909311</v>
      </c>
      <c r="DT50" s="229">
        <f t="shared" si="132"/>
        <v>2.38</v>
      </c>
      <c r="DU50" s="229">
        <f t="shared" si="133"/>
        <v>2.0791999999999997</v>
      </c>
      <c r="DV50" s="229">
        <f t="shared" si="134"/>
        <v>3.350318483041034</v>
      </c>
      <c r="DW50" s="229">
        <f t="shared" si="232"/>
        <v>2.8893684855983457</v>
      </c>
      <c r="DX50" s="229">
        <f t="shared" si="233"/>
        <v>0.61197315431676347</v>
      </c>
      <c r="DY50" s="229">
        <f t="shared" si="234"/>
        <v>21.180169901037488</v>
      </c>
      <c r="EA50" s="235">
        <f t="shared" si="135"/>
        <v>0.14000000000000001</v>
      </c>
      <c r="EB50" s="235">
        <f t="shared" si="136"/>
        <v>0.21427792133345505</v>
      </c>
      <c r="EC50" s="235">
        <f t="shared" si="137"/>
        <v>0.14000000000000001</v>
      </c>
      <c r="ED50" s="235">
        <f t="shared" si="138"/>
        <v>0.16830719898989605</v>
      </c>
      <c r="EE50" s="235">
        <f t="shared" si="139"/>
        <v>0.13948345225708844</v>
      </c>
      <c r="EF50" s="235">
        <f t="shared" si="140"/>
        <v>0.16041371451608791</v>
      </c>
      <c r="EG50" s="235">
        <f t="shared" si="141"/>
        <v>3.2539111973598496E-2</v>
      </c>
      <c r="EH50" s="235">
        <f t="shared" si="235"/>
        <v>20.284495045674632</v>
      </c>
      <c r="EJ50" s="229">
        <f t="shared" si="142"/>
        <v>7.5426305676856105</v>
      </c>
      <c r="EK50" s="229">
        <f t="shared" si="143"/>
        <v>16.498456120573437</v>
      </c>
      <c r="EL50" s="229">
        <f t="shared" si="144"/>
        <v>6.91</v>
      </c>
      <c r="EM50" s="229">
        <f t="shared" si="145"/>
        <v>14.4</v>
      </c>
      <c r="EN50" s="229">
        <f t="shared" si="146"/>
        <v>21.018975002981676</v>
      </c>
      <c r="EO50" s="229">
        <f t="shared" si="236"/>
        <v>21.330672801932028</v>
      </c>
      <c r="EP50" s="229">
        <f t="shared" si="147"/>
        <v>20.807383082137839</v>
      </c>
      <c r="EQ50" s="229">
        <f t="shared" si="148"/>
        <v>15.501159653615799</v>
      </c>
      <c r="ER50" s="229">
        <f t="shared" si="149"/>
        <v>6.2174335418074751</v>
      </c>
      <c r="ES50" s="229">
        <f t="shared" si="237"/>
        <v>40.109473618363758</v>
      </c>
      <c r="EU50" s="238">
        <f t="shared" si="191"/>
        <v>1.6029257046656767E-2</v>
      </c>
      <c r="EV50" s="238">
        <f t="shared" si="151"/>
        <v>1.6029257046656767E-2</v>
      </c>
      <c r="EW50" s="238" t="e">
        <f t="shared" si="152"/>
        <v>#DIV/0!</v>
      </c>
      <c r="EX50" s="238" t="e">
        <f t="shared" si="238"/>
        <v>#DIV/0!</v>
      </c>
      <c r="EZ50" s="240">
        <f t="shared" si="153"/>
        <v>2.7410029549783072E-2</v>
      </c>
      <c r="FA50" s="240">
        <f t="shared" si="154"/>
        <v>2.7410029549783072E-2</v>
      </c>
      <c r="FB50" s="240" t="e">
        <f t="shared" si="155"/>
        <v>#DIV/0!</v>
      </c>
      <c r="FC50" s="240" t="e">
        <f t="shared" si="239"/>
        <v>#DIV/0!</v>
      </c>
      <c r="FE50" s="236">
        <f t="shared" si="156"/>
        <v>0.9</v>
      </c>
      <c r="FF50" s="236">
        <f t="shared" si="157"/>
        <v>1.2</v>
      </c>
      <c r="FG50" s="236">
        <f t="shared" si="158"/>
        <v>1.3296927853722731</v>
      </c>
      <c r="FH50" s="236">
        <f t="shared" si="159"/>
        <v>1.3224137063491834</v>
      </c>
      <c r="FI50" s="236">
        <f t="shared" si="160"/>
        <v>0.9</v>
      </c>
      <c r="FJ50" s="236">
        <f t="shared" si="161"/>
        <v>1.1220479932659737</v>
      </c>
      <c r="FK50" s="236">
        <f t="shared" si="240"/>
        <v>1.1290257474979051</v>
      </c>
      <c r="FL50" s="236">
        <f t="shared" si="241"/>
        <v>0.19373062861831392</v>
      </c>
      <c r="FM50" s="236">
        <f t="shared" si="242"/>
        <v>17.15909748273242</v>
      </c>
      <c r="FO50" s="227">
        <f t="shared" si="162"/>
        <v>0.3</v>
      </c>
      <c r="FP50" s="227">
        <f t="shared" si="163"/>
        <v>0.32</v>
      </c>
      <c r="FQ50" s="227">
        <f t="shared" si="164"/>
        <v>0.35256702063435774</v>
      </c>
      <c r="FR50" s="227">
        <f t="shared" si="165"/>
        <v>0.3</v>
      </c>
      <c r="FS50" s="227">
        <f t="shared" si="166"/>
        <v>0.36065828354977725</v>
      </c>
      <c r="FT50" s="227">
        <f t="shared" si="243"/>
        <v>0.32664506083682704</v>
      </c>
      <c r="FU50" s="227">
        <f t="shared" si="244"/>
        <v>2.869199664796401E-2</v>
      </c>
      <c r="FV50" s="227">
        <f t="shared" si="245"/>
        <v>8.7838452461085481</v>
      </c>
      <c r="FX50" s="230">
        <f t="shared" si="167"/>
        <v>2.94</v>
      </c>
      <c r="FY50" s="230">
        <f t="shared" si="168"/>
        <v>1.6830719898989606</v>
      </c>
      <c r="FZ50" s="230">
        <f t="shared" si="169"/>
        <v>2.94</v>
      </c>
      <c r="GA50" s="230">
        <f t="shared" si="170"/>
        <v>3.9905220926247789</v>
      </c>
      <c r="GB50" s="230">
        <f t="shared" si="246"/>
        <v>2.8883985206309348</v>
      </c>
      <c r="GC50" s="230">
        <f t="shared" si="247"/>
        <v>0.94389509286025342</v>
      </c>
      <c r="GD50" s="230">
        <f t="shared" si="248"/>
        <v>32.678838675421815</v>
      </c>
      <c r="GF50" s="231">
        <f t="shared" si="171"/>
        <v>0.06</v>
      </c>
      <c r="GG50" s="231">
        <f t="shared" si="172"/>
        <v>0.05</v>
      </c>
      <c r="GH50" s="231">
        <f t="shared" si="173"/>
        <v>0.06</v>
      </c>
      <c r="GI50" s="231">
        <f t="shared" si="174"/>
        <v>6.4117028186627067E-2</v>
      </c>
      <c r="GJ50" s="245">
        <f t="shared" si="187"/>
        <v>5.8529257046656763E-2</v>
      </c>
      <c r="GK50" s="231">
        <f t="shared" si="188"/>
        <v>6.008260473443946E-3</v>
      </c>
      <c r="GL50" s="231">
        <f t="shared" si="249"/>
        <v>10.265396788916087</v>
      </c>
      <c r="GN50" s="246">
        <f t="shared" si="175"/>
        <v>0.18</v>
      </c>
      <c r="GO50" s="246">
        <f t="shared" si="176"/>
        <v>0.18</v>
      </c>
      <c r="GP50" s="246">
        <f t="shared" si="177"/>
        <v>0.16830719898989605</v>
      </c>
      <c r="GQ50" s="247">
        <f t="shared" si="189"/>
        <v>0.17610239966329866</v>
      </c>
      <c r="GR50" s="246">
        <f t="shared" si="190"/>
        <v>6.7508418107642427E-3</v>
      </c>
      <c r="GS50" s="246">
        <f t="shared" si="250"/>
        <v>3.8334751960629756</v>
      </c>
      <c r="GU50" s="249">
        <f t="shared" si="178"/>
        <v>2.1960082153919768E-2</v>
      </c>
      <c r="GV50" s="249">
        <f t="shared" si="179"/>
        <v>2.1960082153919768E-2</v>
      </c>
      <c r="GW50" s="249" t="e">
        <f t="shared" si="180"/>
        <v>#DIV/0!</v>
      </c>
      <c r="GX50" s="249" t="e">
        <f t="shared" si="251"/>
        <v>#DIV/0!</v>
      </c>
      <c r="GZ50" s="240">
        <f t="shared" si="181"/>
        <v>2.4043885569985154E-2</v>
      </c>
      <c r="HA50" s="240">
        <f t="shared" si="182"/>
        <v>2.4043885569985154E-2</v>
      </c>
      <c r="HB50" s="240" t="e">
        <f t="shared" si="183"/>
        <v>#DIV/0!</v>
      </c>
      <c r="HC50" s="240" t="e">
        <f t="shared" si="252"/>
        <v>#DIV/0!</v>
      </c>
      <c r="HE50" s="234">
        <f t="shared" si="184"/>
        <v>9.494387942760775E-2</v>
      </c>
      <c r="HF50" s="251">
        <f t="shared" si="185"/>
        <v>9.494387942760775E-2</v>
      </c>
      <c r="HG50" s="234" t="e">
        <f t="shared" si="186"/>
        <v>#DIV/0!</v>
      </c>
      <c r="HH50" s="234" t="e">
        <f t="shared" si="253"/>
        <v>#DIV/0!</v>
      </c>
    </row>
    <row r="51" spans="2:216" ht="15.6" x14ac:dyDescent="0.25">
      <c r="B51">
        <v>47</v>
      </c>
      <c r="C51" s="124">
        <f t="shared" si="52"/>
        <v>80.19624531547197</v>
      </c>
      <c r="D51" s="124">
        <f t="shared" si="53"/>
        <v>173.73684268770222</v>
      </c>
      <c r="E51" s="29">
        <f t="shared" si="201"/>
        <v>2.0059051797695986</v>
      </c>
      <c r="F51" s="29">
        <f t="shared" si="202"/>
        <v>1.9478406917925666</v>
      </c>
      <c r="G51" s="29">
        <f t="shared" si="203"/>
        <v>1.9804174183315317</v>
      </c>
      <c r="H51" s="29">
        <f t="shared" si="204"/>
        <v>2.0059051797695986</v>
      </c>
      <c r="I51" s="29">
        <f t="shared" si="205"/>
        <v>1.9673051545846025</v>
      </c>
      <c r="J51" s="125">
        <f t="shared" si="206"/>
        <v>1.9814747248495794</v>
      </c>
      <c r="K51" s="126">
        <f t="shared" si="207"/>
        <v>2.5133827073516048E-2</v>
      </c>
      <c r="L51" s="126">
        <f t="shared" si="55"/>
        <v>1.2684404579232795</v>
      </c>
      <c r="N51" s="138">
        <f t="shared" si="56"/>
        <v>416.10969221841168</v>
      </c>
      <c r="O51" s="138">
        <f t="shared" si="57"/>
        <v>325.79239999999999</v>
      </c>
      <c r="P51" s="138">
        <f t="shared" si="58"/>
        <v>356.70246796613384</v>
      </c>
      <c r="Q51" s="138">
        <f t="shared" si="59"/>
        <v>424.86428373748987</v>
      </c>
      <c r="R51" s="138">
        <f t="shared" si="60"/>
        <v>416.10969221841168</v>
      </c>
      <c r="S51" s="138">
        <f t="shared" si="61"/>
        <v>384.95069999999998</v>
      </c>
      <c r="T51" s="138">
        <f t="shared" si="62"/>
        <v>387.42153935674122</v>
      </c>
      <c r="U51" s="138">
        <f t="shared" si="63"/>
        <v>39.48644463121974</v>
      </c>
      <c r="V51" s="138">
        <f t="shared" si="64"/>
        <v>10.192113917254423</v>
      </c>
      <c r="X51" s="227">
        <f t="shared" si="65"/>
        <v>0.44691733945000001</v>
      </c>
      <c r="Y51" s="227">
        <f t="shared" si="66"/>
        <v>0.47</v>
      </c>
      <c r="Z51" s="227">
        <f t="shared" si="67"/>
        <v>0.44691733945000001</v>
      </c>
      <c r="AA51" s="227">
        <f t="shared" si="68"/>
        <v>0.45461155963333333</v>
      </c>
      <c r="AB51" s="227">
        <f t="shared" si="69"/>
        <v>1.3326780282155237E-2</v>
      </c>
      <c r="AC51" s="227">
        <f t="shared" si="70"/>
        <v>2.9314653355721845</v>
      </c>
      <c r="AE51" s="228">
        <f t="shared" si="71"/>
        <v>4.4230469601107876</v>
      </c>
      <c r="AF51" s="228">
        <f t="shared" si="72"/>
        <v>5.2850000000000001</v>
      </c>
      <c r="AG51" s="228">
        <f t="shared" si="73"/>
        <v>4.4230469601107876</v>
      </c>
      <c r="AH51" s="228">
        <f t="shared" si="74"/>
        <v>7.1913525388991539</v>
      </c>
      <c r="AI51" s="228">
        <f t="shared" si="75"/>
        <v>5.2850000000000001</v>
      </c>
      <c r="AJ51" s="228">
        <f t="shared" si="76"/>
        <v>6.1029342685042964</v>
      </c>
      <c r="AK51" s="228">
        <f t="shared" si="77"/>
        <v>5.4606705978765087</v>
      </c>
      <c r="AL51" s="228">
        <f t="shared" si="78"/>
        <v>5.4530073322145052</v>
      </c>
      <c r="AM51" s="228">
        <f t="shared" si="79"/>
        <v>0.96802182046023311</v>
      </c>
      <c r="AN51" s="228">
        <f t="shared" si="80"/>
        <v>17.75207259930664</v>
      </c>
      <c r="AP51" s="229">
        <f t="shared" si="192"/>
        <v>1.4155995691718524</v>
      </c>
      <c r="AQ51" s="229">
        <f t="shared" si="193"/>
        <v>1.4</v>
      </c>
      <c r="AR51" s="229">
        <f t="shared" si="194"/>
        <v>1.47</v>
      </c>
      <c r="AS51" s="229">
        <f t="shared" si="195"/>
        <v>1.3794574978612641</v>
      </c>
      <c r="AT51" s="229">
        <f t="shared" si="196"/>
        <v>1.4155995691718524</v>
      </c>
      <c r="AU51" s="229">
        <f t="shared" si="197"/>
        <v>0.8769426545745419</v>
      </c>
      <c r="AV51" s="229">
        <f t="shared" si="198"/>
        <v>1.4</v>
      </c>
      <c r="AW51" s="229">
        <f t="shared" si="199"/>
        <v>1.449999998851363</v>
      </c>
      <c r="AX51" s="229">
        <f t="shared" si="200"/>
        <v>1.4091209345321167</v>
      </c>
      <c r="AY51" s="229">
        <f t="shared" si="90"/>
        <v>1.357413358240332</v>
      </c>
      <c r="AZ51" s="229">
        <f t="shared" si="91"/>
        <v>0.18222865682259076</v>
      </c>
      <c r="BA51" s="229">
        <f t="shared" si="92"/>
        <v>13.424698947918184</v>
      </c>
      <c r="BC51" s="230">
        <f t="shared" si="93"/>
        <v>9.65</v>
      </c>
      <c r="BD51" s="230">
        <f t="shared" si="94"/>
        <v>11.73</v>
      </c>
      <c r="BE51" s="230">
        <f t="shared" si="95"/>
        <v>9.65</v>
      </c>
      <c r="BF51" s="230">
        <f t="shared" si="96"/>
        <v>9.2001230769230542</v>
      </c>
      <c r="BG51" s="230">
        <f t="shared" si="97"/>
        <v>10.057530769230764</v>
      </c>
      <c r="BH51" s="230">
        <f t="shared" si="98"/>
        <v>1.1349690061022091</v>
      </c>
      <c r="BI51" s="230">
        <f t="shared" si="99"/>
        <v>11.284767923101423</v>
      </c>
      <c r="BK51" s="227">
        <f t="shared" si="208"/>
        <v>19.600000000000001</v>
      </c>
      <c r="BL51" s="227">
        <f t="shared" si="209"/>
        <v>31.73</v>
      </c>
      <c r="BM51" s="227">
        <f t="shared" si="210"/>
        <v>40.475547761096507</v>
      </c>
      <c r="BN51" s="227">
        <f t="shared" si="211"/>
        <v>22.861907306449599</v>
      </c>
      <c r="BO51" s="227">
        <f t="shared" si="212"/>
        <v>19.600000000000001</v>
      </c>
      <c r="BP51" s="227">
        <f t="shared" si="213"/>
        <v>29.769520549291588</v>
      </c>
      <c r="BQ51" s="227">
        <f t="shared" si="214"/>
        <v>31.86</v>
      </c>
      <c r="BR51" s="227">
        <f t="shared" si="100"/>
        <v>27.985282230976818</v>
      </c>
      <c r="BS51" s="227">
        <f t="shared" si="101"/>
        <v>7.6930864542155026</v>
      </c>
      <c r="BT51" s="227">
        <f t="shared" si="215"/>
        <v>27.489758333400154</v>
      </c>
      <c r="BV51" s="231">
        <f t="shared" si="102"/>
        <v>0.26</v>
      </c>
      <c r="BW51" s="231">
        <f t="shared" si="103"/>
        <v>0.31412565484946742</v>
      </c>
      <c r="BX51" s="231">
        <f t="shared" si="104"/>
        <v>0.32371534912843253</v>
      </c>
      <c r="BY51" s="231">
        <f t="shared" si="105"/>
        <v>0.26</v>
      </c>
      <c r="BZ51" s="231">
        <f t="shared" si="106"/>
        <v>0.336834109080758</v>
      </c>
      <c r="CA51" s="231">
        <f t="shared" si="107"/>
        <v>0.31224130754474205</v>
      </c>
      <c r="CB51" s="231">
        <f t="shared" si="108"/>
        <v>0.48</v>
      </c>
      <c r="CC51" s="231">
        <f t="shared" si="109"/>
        <v>0.45199388067250112</v>
      </c>
      <c r="CD51" s="231">
        <f t="shared" si="110"/>
        <v>0.34236378765948761</v>
      </c>
      <c r="CE51" s="231">
        <f t="shared" si="111"/>
        <v>8.1602843818100609E-2</v>
      </c>
      <c r="CF51" s="231">
        <f t="shared" si="216"/>
        <v>23.835127066435593</v>
      </c>
      <c r="CH51" s="232">
        <f t="shared" si="112"/>
        <v>1.4747109226330299</v>
      </c>
      <c r="CI51" s="232">
        <f t="shared" si="113"/>
        <v>1.52</v>
      </c>
      <c r="CJ51" s="232">
        <f t="shared" si="114"/>
        <v>2.1</v>
      </c>
      <c r="CK51" s="232">
        <f t="shared" si="115"/>
        <v>1.9808933791318024</v>
      </c>
      <c r="CL51" s="232">
        <f t="shared" si="116"/>
        <v>1.8973244744266045</v>
      </c>
      <c r="CM51" s="232">
        <f t="shared" si="117"/>
        <v>1.5319733489333671</v>
      </c>
      <c r="CN51" s="232">
        <f t="shared" si="118"/>
        <v>1.4776000691925666</v>
      </c>
      <c r="CO51" s="232">
        <f t="shared" si="119"/>
        <v>1.8811406255205199</v>
      </c>
      <c r="CP51" s="232">
        <f t="shared" si="120"/>
        <v>1.52</v>
      </c>
      <c r="CQ51" s="232">
        <f t="shared" si="121"/>
        <v>1.4822232654981471</v>
      </c>
      <c r="CR51" s="232">
        <f t="shared" si="122"/>
        <v>1.6865866085336036</v>
      </c>
      <c r="CS51" s="232">
        <f t="shared" si="123"/>
        <v>0.24710036946742642</v>
      </c>
      <c r="CT51" s="232">
        <f t="shared" si="217"/>
        <v>14.650914943660492</v>
      </c>
      <c r="CV51" s="229">
        <f t="shared" si="218"/>
        <v>0.83</v>
      </c>
      <c r="CW51" s="229">
        <f t="shared" si="219"/>
        <v>1.19</v>
      </c>
      <c r="CX51" s="229">
        <f t="shared" si="220"/>
        <v>0.75417514460250601</v>
      </c>
      <c r="CY51" s="229">
        <f t="shared" si="221"/>
        <v>0.51901317439447836</v>
      </c>
      <c r="CZ51" s="229">
        <f t="shared" si="222"/>
        <v>1.199019744664958</v>
      </c>
      <c r="DA51" s="229">
        <f t="shared" si="223"/>
        <v>0.83</v>
      </c>
      <c r="DB51" s="229">
        <f t="shared" si="224"/>
        <v>0.54533446814520936</v>
      </c>
      <c r="DC51" s="229">
        <f t="shared" si="225"/>
        <v>0.89</v>
      </c>
      <c r="DD51" s="229">
        <f t="shared" si="226"/>
        <v>0.84469281647589389</v>
      </c>
      <c r="DE51" s="229">
        <f t="shared" si="227"/>
        <v>0.25386870074538787</v>
      </c>
      <c r="DF51" s="229">
        <f t="shared" si="228"/>
        <v>30.05455898210931</v>
      </c>
      <c r="DH51" s="234">
        <f t="shared" si="124"/>
        <v>6.9559999999999997E-2</v>
      </c>
      <c r="DI51" s="234">
        <f t="shared" si="125"/>
        <v>9.4E-2</v>
      </c>
      <c r="DJ51" s="234">
        <f t="shared" si="126"/>
        <v>0.11239706387396782</v>
      </c>
      <c r="DK51" s="234">
        <f t="shared" si="229"/>
        <v>9.1985687957989268E-2</v>
      </c>
      <c r="DL51" s="234">
        <f t="shared" si="230"/>
        <v>2.148945322914346E-2</v>
      </c>
      <c r="DM51" s="234">
        <f t="shared" si="231"/>
        <v>23.361735620173757</v>
      </c>
      <c r="DO51" s="229">
        <f t="shared" si="127"/>
        <v>2.38</v>
      </c>
      <c r="DP51" s="229">
        <f t="shared" si="128"/>
        <v>3.49</v>
      </c>
      <c r="DQ51" s="229">
        <f t="shared" si="129"/>
        <v>3.7948707812612037</v>
      </c>
      <c r="DR51" s="229">
        <f t="shared" si="130"/>
        <v>2.9722120872743689</v>
      </c>
      <c r="DS51" s="229">
        <f t="shared" si="131"/>
        <v>2.6713650243187934</v>
      </c>
      <c r="DT51" s="229">
        <f t="shared" si="132"/>
        <v>2.38</v>
      </c>
      <c r="DU51" s="229">
        <f t="shared" si="133"/>
        <v>2.1244000000000001</v>
      </c>
      <c r="DV51" s="229">
        <f t="shared" si="134"/>
        <v>3.353040964891004</v>
      </c>
      <c r="DW51" s="229">
        <f t="shared" si="232"/>
        <v>2.8957361072181715</v>
      </c>
      <c r="DX51" s="229">
        <f t="shared" si="233"/>
        <v>0.60401493387692495</v>
      </c>
      <c r="DY51" s="229">
        <f t="shared" si="234"/>
        <v>20.858769981536067</v>
      </c>
      <c r="EA51" s="235">
        <f t="shared" si="135"/>
        <v>0.14000000000000001</v>
      </c>
      <c r="EB51" s="235">
        <f t="shared" si="136"/>
        <v>0.21438917704603713</v>
      </c>
      <c r="EC51" s="235">
        <f t="shared" si="137"/>
        <v>0.14000000000000001</v>
      </c>
      <c r="ED51" s="235">
        <f t="shared" si="138"/>
        <v>0.16841211516249113</v>
      </c>
      <c r="EE51" s="235">
        <f t="shared" si="139"/>
        <v>0.13950822723960229</v>
      </c>
      <c r="EF51" s="235">
        <f t="shared" si="140"/>
        <v>0.16046190388962611</v>
      </c>
      <c r="EG51" s="235">
        <f t="shared" si="141"/>
        <v>3.2587544538134977E-2</v>
      </c>
      <c r="EH51" s="235">
        <f t="shared" si="235"/>
        <v>20.308586492000217</v>
      </c>
      <c r="EJ51" s="229">
        <f t="shared" si="142"/>
        <v>7.5426305676856105</v>
      </c>
      <c r="EK51" s="229">
        <f t="shared" si="143"/>
        <v>16.537158506459843</v>
      </c>
      <c r="EL51" s="229">
        <f t="shared" si="144"/>
        <v>6.91</v>
      </c>
      <c r="EM51" s="229">
        <f t="shared" si="145"/>
        <v>14.4</v>
      </c>
      <c r="EN51" s="229">
        <f t="shared" si="146"/>
        <v>21.153122637624271</v>
      </c>
      <c r="EO51" s="229">
        <f t="shared" si="236"/>
        <v>21.433241659962217</v>
      </c>
      <c r="EP51" s="229">
        <f t="shared" si="147"/>
        <v>20.842265986143641</v>
      </c>
      <c r="EQ51" s="229">
        <f t="shared" si="148"/>
        <v>15.545488479696514</v>
      </c>
      <c r="ER51" s="229">
        <f t="shared" si="149"/>
        <v>6.2593929372263633</v>
      </c>
      <c r="ES51" s="229">
        <f t="shared" si="237"/>
        <v>40.265012871107679</v>
      </c>
      <c r="EU51" s="238">
        <f t="shared" si="191"/>
        <v>1.6039249063094396E-2</v>
      </c>
      <c r="EV51" s="238">
        <f t="shared" si="151"/>
        <v>1.6039249063094396E-2</v>
      </c>
      <c r="EW51" s="238" t="e">
        <f t="shared" si="152"/>
        <v>#DIV/0!</v>
      </c>
      <c r="EX51" s="238" t="e">
        <f t="shared" si="238"/>
        <v>#DIV/0!</v>
      </c>
      <c r="EZ51" s="240">
        <f t="shared" si="153"/>
        <v>2.7427115897891416E-2</v>
      </c>
      <c r="FA51" s="240">
        <f t="shared" si="154"/>
        <v>2.7427115897891416E-2</v>
      </c>
      <c r="FB51" s="240" t="e">
        <f t="shared" si="155"/>
        <v>#DIV/0!</v>
      </c>
      <c r="FC51" s="240" t="e">
        <f t="shared" si="239"/>
        <v>#DIV/0!</v>
      </c>
      <c r="FE51" s="236">
        <f t="shared" si="156"/>
        <v>0.9</v>
      </c>
      <c r="FF51" s="236">
        <f t="shared" si="157"/>
        <v>1.2</v>
      </c>
      <c r="FG51" s="236">
        <f t="shared" si="158"/>
        <v>1.3296558908592464</v>
      </c>
      <c r="FH51" s="236">
        <f t="shared" si="159"/>
        <v>1.3232380477052876</v>
      </c>
      <c r="FI51" s="236">
        <f t="shared" si="160"/>
        <v>0.9</v>
      </c>
      <c r="FJ51" s="236">
        <f t="shared" si="161"/>
        <v>1.1227474344166075</v>
      </c>
      <c r="FK51" s="236">
        <f t="shared" si="240"/>
        <v>1.1292735621635235</v>
      </c>
      <c r="FL51" s="236">
        <f t="shared" si="241"/>
        <v>0.19388287767191359</v>
      </c>
      <c r="FM51" s="236">
        <f t="shared" si="242"/>
        <v>17.168814020622449</v>
      </c>
      <c r="FO51" s="227">
        <f t="shared" si="162"/>
        <v>0.3</v>
      </c>
      <c r="FP51" s="227">
        <f t="shared" si="163"/>
        <v>0.32</v>
      </c>
      <c r="FQ51" s="227">
        <f t="shared" si="164"/>
        <v>0.35264743925339115</v>
      </c>
      <c r="FR51" s="227">
        <f t="shared" si="165"/>
        <v>0.3</v>
      </c>
      <c r="FS51" s="227">
        <f t="shared" si="166"/>
        <v>0.36088310391962386</v>
      </c>
      <c r="FT51" s="227">
        <f t="shared" si="243"/>
        <v>0.32670610863460298</v>
      </c>
      <c r="FU51" s="227">
        <f t="shared" si="244"/>
        <v>2.8776831005216445E-2</v>
      </c>
      <c r="FV51" s="227">
        <f t="shared" si="245"/>
        <v>8.8081704763596065</v>
      </c>
      <c r="FX51" s="230">
        <f t="shared" si="167"/>
        <v>2.94</v>
      </c>
      <c r="FY51" s="230">
        <f t="shared" si="168"/>
        <v>1.6841211516249115</v>
      </c>
      <c r="FZ51" s="230">
        <f t="shared" si="169"/>
        <v>2.94</v>
      </c>
      <c r="GA51" s="230">
        <f t="shared" si="170"/>
        <v>3.9947899649876484</v>
      </c>
      <c r="GB51" s="230">
        <f t="shared" si="246"/>
        <v>2.8897277791531399</v>
      </c>
      <c r="GC51" s="230">
        <f t="shared" si="247"/>
        <v>0.94511099300189538</v>
      </c>
      <c r="GD51" s="230">
        <f t="shared" si="248"/>
        <v>32.705883226096418</v>
      </c>
      <c r="GF51" s="231">
        <f t="shared" si="171"/>
        <v>0.06</v>
      </c>
      <c r="GG51" s="231">
        <f t="shared" si="172"/>
        <v>0.05</v>
      </c>
      <c r="GH51" s="231">
        <f t="shared" si="173"/>
        <v>0.06</v>
      </c>
      <c r="GI51" s="231">
        <f t="shared" si="174"/>
        <v>6.4156996252377585E-2</v>
      </c>
      <c r="GJ51" s="245">
        <f t="shared" si="187"/>
        <v>5.8539249063094392E-2</v>
      </c>
      <c r="GK51" s="231">
        <f t="shared" si="188"/>
        <v>6.020671187489504E-3</v>
      </c>
      <c r="GL51" s="231">
        <f t="shared" si="249"/>
        <v>10.284845268514365</v>
      </c>
      <c r="GN51" s="246">
        <f t="shared" si="175"/>
        <v>0.18</v>
      </c>
      <c r="GO51" s="246">
        <f t="shared" si="176"/>
        <v>0.18</v>
      </c>
      <c r="GP51" s="246">
        <f t="shared" si="177"/>
        <v>0.16841211516249113</v>
      </c>
      <c r="GQ51" s="247">
        <f t="shared" si="189"/>
        <v>0.17613737172083035</v>
      </c>
      <c r="GR51" s="246">
        <f t="shared" si="190"/>
        <v>6.6902684302741228E-3</v>
      </c>
      <c r="GS51" s="246">
        <f t="shared" si="250"/>
        <v>3.7983242084921596</v>
      </c>
      <c r="GU51" s="249">
        <f t="shared" si="178"/>
        <v>2.1973771216439317E-2</v>
      </c>
      <c r="GV51" s="249">
        <f t="shared" si="179"/>
        <v>2.1973771216439317E-2</v>
      </c>
      <c r="GW51" s="249" t="e">
        <f t="shared" si="180"/>
        <v>#DIV/0!</v>
      </c>
      <c r="GX51" s="249" t="e">
        <f t="shared" si="251"/>
        <v>#DIV/0!</v>
      </c>
      <c r="GZ51" s="240">
        <f t="shared" si="181"/>
        <v>2.4058873594641594E-2</v>
      </c>
      <c r="HA51" s="240">
        <f t="shared" si="182"/>
        <v>2.4058873594641594E-2</v>
      </c>
      <c r="HB51" s="240" t="e">
        <f t="shared" si="183"/>
        <v>#DIV/0!</v>
      </c>
      <c r="HC51" s="240" t="e">
        <f t="shared" si="252"/>
        <v>#DIV/0!</v>
      </c>
      <c r="HE51" s="234">
        <f t="shared" si="184"/>
        <v>9.5003331925411633E-2</v>
      </c>
      <c r="HF51" s="251">
        <f t="shared" si="185"/>
        <v>9.5003331925411633E-2</v>
      </c>
      <c r="HG51" s="234" t="e">
        <f t="shared" si="186"/>
        <v>#DIV/0!</v>
      </c>
      <c r="HH51" s="234" t="e">
        <f t="shared" si="253"/>
        <v>#DIV/0!</v>
      </c>
    </row>
    <row r="52" spans="2:216" ht="15.6" x14ac:dyDescent="0.25">
      <c r="B52">
        <v>48</v>
      </c>
      <c r="C52" s="124">
        <f t="shared" si="52"/>
        <v>80.233848479262633</v>
      </c>
      <c r="D52" s="124">
        <f t="shared" si="53"/>
        <v>173.76195707893356</v>
      </c>
      <c r="E52" s="29">
        <f t="shared" si="201"/>
        <v>2.0065160180997714</v>
      </c>
      <c r="F52" s="29">
        <f t="shared" si="202"/>
        <v>1.9484329750342433</v>
      </c>
      <c r="G52" s="29">
        <f t="shared" si="203"/>
        <v>1.9810164245116351</v>
      </c>
      <c r="H52" s="29">
        <f t="shared" si="204"/>
        <v>2.0065160180997714</v>
      </c>
      <c r="I52" s="29">
        <f t="shared" si="205"/>
        <v>1.967908544039366</v>
      </c>
      <c r="J52" s="125">
        <f t="shared" si="206"/>
        <v>1.9820779959569574</v>
      </c>
      <c r="K52" s="126">
        <f t="shared" si="207"/>
        <v>2.5141209134475144E-2</v>
      </c>
      <c r="L52" s="126">
        <f t="shared" si="55"/>
        <v>1.2684268321306318</v>
      </c>
      <c r="N52" s="138">
        <f t="shared" si="56"/>
        <v>416.23637915096106</v>
      </c>
      <c r="O52" s="138">
        <f t="shared" si="57"/>
        <v>325.79239999999999</v>
      </c>
      <c r="P52" s="138">
        <f t="shared" si="58"/>
        <v>355.23250165817655</v>
      </c>
      <c r="Q52" s="138">
        <f t="shared" si="59"/>
        <v>425.01585742550998</v>
      </c>
      <c r="R52" s="138">
        <f t="shared" si="60"/>
        <v>416.23637915096106</v>
      </c>
      <c r="S52" s="138">
        <f t="shared" si="61"/>
        <v>383.49119999999999</v>
      </c>
      <c r="T52" s="138">
        <f t="shared" si="62"/>
        <v>387.00078623093481</v>
      </c>
      <c r="U52" s="138">
        <f t="shared" si="63"/>
        <v>39.806012284334649</v>
      </c>
      <c r="V52" s="138">
        <f t="shared" si="64"/>
        <v>10.285770391324535</v>
      </c>
      <c r="X52" s="227">
        <f t="shared" si="65"/>
        <v>0.4463320368</v>
      </c>
      <c r="Y52" s="227">
        <f t="shared" si="66"/>
        <v>0.47</v>
      </c>
      <c r="Z52" s="227">
        <f t="shared" si="67"/>
        <v>0.4463320368</v>
      </c>
      <c r="AA52" s="227">
        <f t="shared" si="68"/>
        <v>0.45422135786666668</v>
      </c>
      <c r="AB52" s="227">
        <f t="shared" si="69"/>
        <v>1.3664704924690142E-2</v>
      </c>
      <c r="AC52" s="227">
        <f t="shared" si="70"/>
        <v>3.0083800966270977</v>
      </c>
      <c r="AE52" s="228">
        <f t="shared" si="71"/>
        <v>4.4246739997510005</v>
      </c>
      <c r="AF52" s="228">
        <f t="shared" si="72"/>
        <v>5.2850000000000001</v>
      </c>
      <c r="AG52" s="228">
        <f t="shared" si="73"/>
        <v>4.4246739997510005</v>
      </c>
      <c r="AH52" s="228">
        <f t="shared" si="74"/>
        <v>7.1947234317282103</v>
      </c>
      <c r="AI52" s="228">
        <f t="shared" si="75"/>
        <v>5.2850000000000001</v>
      </c>
      <c r="AJ52" s="228">
        <f t="shared" si="76"/>
        <v>6.1057958692701595</v>
      </c>
      <c r="AK52" s="228">
        <f t="shared" si="77"/>
        <v>5.4625657797515732</v>
      </c>
      <c r="AL52" s="228">
        <f t="shared" si="78"/>
        <v>5.4546332971788489</v>
      </c>
      <c r="AM52" s="228">
        <f t="shared" si="79"/>
        <v>0.96877693645717144</v>
      </c>
      <c r="AN52" s="228">
        <f t="shared" si="80"/>
        <v>17.760624476043613</v>
      </c>
      <c r="AP52" s="229">
        <f t="shared" si="192"/>
        <v>1.4161976785086177</v>
      </c>
      <c r="AQ52" s="229">
        <f t="shared" si="193"/>
        <v>1.4</v>
      </c>
      <c r="AR52" s="229">
        <f t="shared" si="194"/>
        <v>1.47</v>
      </c>
      <c r="AS52" s="229">
        <f t="shared" si="195"/>
        <v>1.377961021841775</v>
      </c>
      <c r="AT52" s="229">
        <f t="shared" si="196"/>
        <v>1.4161976785086177</v>
      </c>
      <c r="AU52" s="229">
        <f t="shared" si="197"/>
        <v>0.89530182117316026</v>
      </c>
      <c r="AV52" s="229">
        <f t="shared" si="198"/>
        <v>1.4</v>
      </c>
      <c r="AW52" s="229">
        <f t="shared" si="199"/>
        <v>1.4499999992602359</v>
      </c>
      <c r="AX52" s="229">
        <f t="shared" si="200"/>
        <v>1.406882458538524</v>
      </c>
      <c r="AY52" s="229">
        <f t="shared" si="90"/>
        <v>1.3591711842034369</v>
      </c>
      <c r="AZ52" s="229">
        <f t="shared" si="91"/>
        <v>0.17613032682325358</v>
      </c>
      <c r="BA52" s="229">
        <f t="shared" si="92"/>
        <v>12.958656633562862</v>
      </c>
      <c r="BC52" s="230">
        <f t="shared" si="93"/>
        <v>9.65</v>
      </c>
      <c r="BD52" s="230">
        <f t="shared" si="94"/>
        <v>11.73</v>
      </c>
      <c r="BE52" s="230">
        <f t="shared" si="95"/>
        <v>9.65</v>
      </c>
      <c r="BF52" s="230">
        <f t="shared" si="96"/>
        <v>9.2001230769230684</v>
      </c>
      <c r="BG52" s="230">
        <f t="shared" si="97"/>
        <v>10.057530769230768</v>
      </c>
      <c r="BH52" s="230">
        <f t="shared" si="98"/>
        <v>1.1349690061022055</v>
      </c>
      <c r="BI52" s="230">
        <f t="shared" si="99"/>
        <v>11.284767923101384</v>
      </c>
      <c r="BK52" s="227">
        <f t="shared" si="208"/>
        <v>19.600000000000001</v>
      </c>
      <c r="BL52" s="227">
        <f t="shared" si="209"/>
        <v>31.73</v>
      </c>
      <c r="BM52" s="227">
        <f t="shared" si="210"/>
        <v>40.484045858631816</v>
      </c>
      <c r="BN52" s="227">
        <f t="shared" si="211"/>
        <v>22.865357368361099</v>
      </c>
      <c r="BO52" s="227">
        <f t="shared" si="212"/>
        <v>19.600000000000001</v>
      </c>
      <c r="BP52" s="227">
        <f t="shared" si="213"/>
        <v>29.598809223301632</v>
      </c>
      <c r="BQ52" s="227">
        <f t="shared" si="214"/>
        <v>31.86</v>
      </c>
      <c r="BR52" s="227">
        <f t="shared" si="100"/>
        <v>27.962601778613507</v>
      </c>
      <c r="BS52" s="227">
        <f t="shared" si="101"/>
        <v>7.6886806030991517</v>
      </c>
      <c r="BT52" s="227">
        <f t="shared" si="215"/>
        <v>27.496299035305238</v>
      </c>
      <c r="BV52" s="231">
        <f t="shared" si="102"/>
        <v>0.26</v>
      </c>
      <c r="BW52" s="231">
        <f t="shared" si="103"/>
        <v>0.31376110352589853</v>
      </c>
      <c r="BX52" s="231">
        <f t="shared" si="104"/>
        <v>0.32382647573299556</v>
      </c>
      <c r="BY52" s="231">
        <f t="shared" si="105"/>
        <v>0.26</v>
      </c>
      <c r="BZ52" s="231">
        <f t="shared" si="106"/>
        <v>0.33699011109649812</v>
      </c>
      <c r="CA52" s="231">
        <f t="shared" si="107"/>
        <v>0.31235372681441426</v>
      </c>
      <c r="CB52" s="231">
        <f t="shared" si="108"/>
        <v>0.48</v>
      </c>
      <c r="CC52" s="231">
        <f t="shared" si="109"/>
        <v>0.4520940061538557</v>
      </c>
      <c r="CD52" s="231">
        <f t="shared" si="110"/>
        <v>0.34237817791545777</v>
      </c>
      <c r="CE52" s="231">
        <f t="shared" si="111"/>
        <v>8.1629177908127834E-2</v>
      </c>
      <c r="CF52" s="231">
        <f t="shared" si="216"/>
        <v>23.841816790170618</v>
      </c>
      <c r="CH52" s="232">
        <f t="shared" si="112"/>
        <v>1.4752465754326956</v>
      </c>
      <c r="CI52" s="232">
        <f t="shared" si="113"/>
        <v>1.52</v>
      </c>
      <c r="CJ52" s="232">
        <f t="shared" si="114"/>
        <v>2.1</v>
      </c>
      <c r="CK52" s="232">
        <f t="shared" si="115"/>
        <v>1.9818131609635048</v>
      </c>
      <c r="CL52" s="232">
        <f t="shared" si="116"/>
        <v>1.8938466202976578</v>
      </c>
      <c r="CM52" s="232">
        <f t="shared" si="117"/>
        <v>1.5325336142875379</v>
      </c>
      <c r="CN52" s="232">
        <f t="shared" si="118"/>
        <v>1.478136771404303</v>
      </c>
      <c r="CO52" s="232">
        <f t="shared" si="119"/>
        <v>1.8819794573503767</v>
      </c>
      <c r="CP52" s="232">
        <f t="shared" si="120"/>
        <v>1.52</v>
      </c>
      <c r="CQ52" s="232">
        <f t="shared" si="121"/>
        <v>1.4826799827179096</v>
      </c>
      <c r="CR52" s="232">
        <f t="shared" si="122"/>
        <v>1.6866236182453984</v>
      </c>
      <c r="CS52" s="232">
        <f t="shared" si="123"/>
        <v>0.24678663551400085</v>
      </c>
      <c r="CT52" s="232">
        <f t="shared" si="217"/>
        <v>14.631992155471771</v>
      </c>
      <c r="CV52" s="229">
        <f t="shared" si="218"/>
        <v>0.83</v>
      </c>
      <c r="CW52" s="229">
        <f t="shared" si="219"/>
        <v>1.19</v>
      </c>
      <c r="CX52" s="229">
        <f t="shared" si="220"/>
        <v>0.75621607544214542</v>
      </c>
      <c r="CY52" s="229">
        <f t="shared" si="221"/>
        <v>0.51911648929641074</v>
      </c>
      <c r="CZ52" s="229">
        <f t="shared" si="222"/>
        <v>1.1994446766126912</v>
      </c>
      <c r="DA52" s="229">
        <f t="shared" si="223"/>
        <v>0.83</v>
      </c>
      <c r="DB52" s="229">
        <f t="shared" si="224"/>
        <v>0.54559016965898588</v>
      </c>
      <c r="DC52" s="229">
        <f t="shared" si="225"/>
        <v>0.89</v>
      </c>
      <c r="DD52" s="229">
        <f t="shared" si="226"/>
        <v>0.84504592637627918</v>
      </c>
      <c r="DE52" s="229">
        <f t="shared" si="227"/>
        <v>0.25378841193247254</v>
      </c>
      <c r="DF52" s="229">
        <f t="shared" si="228"/>
        <v>30.032499301045856</v>
      </c>
      <c r="DH52" s="234">
        <f t="shared" si="124"/>
        <v>7.1039999999999992E-2</v>
      </c>
      <c r="DI52" s="234">
        <f t="shared" si="125"/>
        <v>9.6000000000000002E-2</v>
      </c>
      <c r="DJ52" s="234">
        <f t="shared" si="126"/>
        <v>0.11243994947547936</v>
      </c>
      <c r="DK52" s="234">
        <f t="shared" si="229"/>
        <v>9.3159983158493123E-2</v>
      </c>
      <c r="DL52" s="234">
        <f t="shared" si="230"/>
        <v>2.0845580488153624E-2</v>
      </c>
      <c r="DM52" s="234">
        <f t="shared" si="231"/>
        <v>22.376110193889826</v>
      </c>
      <c r="DO52" s="229">
        <f t="shared" si="127"/>
        <v>2.38</v>
      </c>
      <c r="DP52" s="229">
        <f t="shared" si="128"/>
        <v>3.49</v>
      </c>
      <c r="DQ52" s="229">
        <f t="shared" si="129"/>
        <v>3.7960285509195697</v>
      </c>
      <c r="DR52" s="229">
        <f t="shared" si="130"/>
        <v>2.9731169939354363</v>
      </c>
      <c r="DS52" s="229">
        <f t="shared" si="131"/>
        <v>2.6723626551574777</v>
      </c>
      <c r="DT52" s="229">
        <f t="shared" si="132"/>
        <v>2.38</v>
      </c>
      <c r="DU52" s="229">
        <f t="shared" si="133"/>
        <v>2.1696</v>
      </c>
      <c r="DV52" s="229">
        <f t="shared" si="134"/>
        <v>3.3563599865685703</v>
      </c>
      <c r="DW52" s="229">
        <f t="shared" si="232"/>
        <v>2.9021835233226319</v>
      </c>
      <c r="DX52" s="229">
        <f t="shared" si="233"/>
        <v>0.59649481793703885</v>
      </c>
      <c r="DY52" s="229">
        <f t="shared" si="234"/>
        <v>20.553311434079401</v>
      </c>
      <c r="EA52" s="235">
        <f t="shared" si="135"/>
        <v>0.14000000000000001</v>
      </c>
      <c r="EB52" s="235">
        <f t="shared" si="136"/>
        <v>0.21447289689451091</v>
      </c>
      <c r="EC52" s="235">
        <f t="shared" si="137"/>
        <v>0.14000000000000001</v>
      </c>
      <c r="ED52" s="235">
        <f t="shared" si="138"/>
        <v>0.16849108180645153</v>
      </c>
      <c r="EE52" s="235">
        <f t="shared" si="139"/>
        <v>0.13955712455612651</v>
      </c>
      <c r="EF52" s="235">
        <f t="shared" si="140"/>
        <v>0.16050422065141778</v>
      </c>
      <c r="EG52" s="235">
        <f t="shared" si="141"/>
        <v>3.2619146717882755E-2</v>
      </c>
      <c r="EH52" s="235">
        <f t="shared" si="235"/>
        <v>20.322921469289486</v>
      </c>
      <c r="EJ52" s="229">
        <f t="shared" si="142"/>
        <v>7.5426305676856105</v>
      </c>
      <c r="EK52" s="229">
        <f t="shared" si="143"/>
        <v>16.57046787267392</v>
      </c>
      <c r="EL52" s="229">
        <f t="shared" si="144"/>
        <v>6.91</v>
      </c>
      <c r="EM52" s="229">
        <f t="shared" si="145"/>
        <v>14.4</v>
      </c>
      <c r="EN52" s="229">
        <f t="shared" si="146"/>
        <v>21.280775188492516</v>
      </c>
      <c r="EO52" s="229">
        <f t="shared" si="236"/>
        <v>21.524128627887563</v>
      </c>
      <c r="EP52" s="229">
        <f t="shared" si="147"/>
        <v>20.86853620574756</v>
      </c>
      <c r="EQ52" s="229">
        <f t="shared" si="148"/>
        <v>15.585219780355311</v>
      </c>
      <c r="ER52" s="229">
        <f t="shared" si="149"/>
        <v>6.2973746033520381</v>
      </c>
      <c r="ES52" s="229">
        <f t="shared" si="237"/>
        <v>40.406068647743318</v>
      </c>
      <c r="EU52" s="238">
        <f t="shared" si="191"/>
        <v>1.6046769695852527E-2</v>
      </c>
      <c r="EV52" s="238">
        <f t="shared" si="151"/>
        <v>1.6046769695852527E-2</v>
      </c>
      <c r="EW52" s="238" t="e">
        <f t="shared" si="152"/>
        <v>#DIV/0!</v>
      </c>
      <c r="EX52" s="238" t="e">
        <f t="shared" si="238"/>
        <v>#DIV/0!</v>
      </c>
      <c r="EZ52" s="240">
        <f t="shared" si="153"/>
        <v>2.7439976179907823E-2</v>
      </c>
      <c r="FA52" s="240">
        <f t="shared" si="154"/>
        <v>2.7439976179907823E-2</v>
      </c>
      <c r="FB52" s="240" t="e">
        <f t="shared" si="155"/>
        <v>#DIV/0!</v>
      </c>
      <c r="FC52" s="240" t="e">
        <f t="shared" si="239"/>
        <v>#DIV/0!</v>
      </c>
      <c r="FE52" s="236">
        <f t="shared" si="156"/>
        <v>0.9</v>
      </c>
      <c r="FF52" s="236">
        <f t="shared" si="157"/>
        <v>1.2</v>
      </c>
      <c r="FG52" s="236">
        <f t="shared" si="158"/>
        <v>1.3294721404327099</v>
      </c>
      <c r="FH52" s="236">
        <f t="shared" si="159"/>
        <v>1.3238584999078336</v>
      </c>
      <c r="FI52" s="236">
        <f t="shared" si="160"/>
        <v>0.9</v>
      </c>
      <c r="FJ52" s="236">
        <f t="shared" si="161"/>
        <v>1.123273878709677</v>
      </c>
      <c r="FK52" s="236">
        <f t="shared" si="240"/>
        <v>1.1294340865083701</v>
      </c>
      <c r="FL52" s="236">
        <f t="shared" si="241"/>
        <v>0.19396575571706157</v>
      </c>
      <c r="FM52" s="236">
        <f t="shared" si="242"/>
        <v>17.173711864559003</v>
      </c>
      <c r="FO52" s="227">
        <f t="shared" si="162"/>
        <v>0.3</v>
      </c>
      <c r="FP52" s="227">
        <f t="shared" si="163"/>
        <v>0.32</v>
      </c>
      <c r="FQ52" s="227">
        <f t="shared" si="164"/>
        <v>0.35278592841489986</v>
      </c>
      <c r="FR52" s="227">
        <f t="shared" si="165"/>
        <v>0.3</v>
      </c>
      <c r="FS52" s="227">
        <f t="shared" si="166"/>
        <v>0.36105231815668182</v>
      </c>
      <c r="FT52" s="227">
        <f t="shared" si="243"/>
        <v>0.32676764931431634</v>
      </c>
      <c r="FU52" s="227">
        <f t="shared" si="244"/>
        <v>2.8858294049789807E-2</v>
      </c>
      <c r="FV52" s="227">
        <f t="shared" si="245"/>
        <v>8.8314415794664978</v>
      </c>
      <c r="FX52" s="230">
        <f t="shared" si="167"/>
        <v>2.94</v>
      </c>
      <c r="FY52" s="230">
        <f t="shared" si="168"/>
        <v>1.6849108180645154</v>
      </c>
      <c r="FZ52" s="230">
        <f t="shared" si="169"/>
        <v>2.94</v>
      </c>
      <c r="GA52" s="230">
        <f t="shared" si="170"/>
        <v>3.9982555247451432</v>
      </c>
      <c r="GB52" s="230">
        <f t="shared" si="246"/>
        <v>2.8907915857024147</v>
      </c>
      <c r="GC52" s="230">
        <f t="shared" si="247"/>
        <v>0.94612679525779708</v>
      </c>
      <c r="GD52" s="230">
        <f t="shared" si="248"/>
        <v>32.728986757027101</v>
      </c>
      <c r="GF52" s="231">
        <f t="shared" si="171"/>
        <v>0.06</v>
      </c>
      <c r="GG52" s="231">
        <f t="shared" si="172"/>
        <v>0.05</v>
      </c>
      <c r="GH52" s="231">
        <f t="shared" si="173"/>
        <v>0.06</v>
      </c>
      <c r="GI52" s="231">
        <f t="shared" si="174"/>
        <v>6.4187078783410109E-2</v>
      </c>
      <c r="GJ52" s="245">
        <f t="shared" si="187"/>
        <v>5.8546769695852527E-2</v>
      </c>
      <c r="GK52" s="231">
        <f t="shared" si="188"/>
        <v>6.0300391228944447E-3</v>
      </c>
      <c r="GL52" s="231">
        <f t="shared" si="249"/>
        <v>10.299524899870974</v>
      </c>
      <c r="GN52" s="246">
        <f t="shared" si="175"/>
        <v>0.18</v>
      </c>
      <c r="GO52" s="246">
        <f t="shared" si="176"/>
        <v>0.18</v>
      </c>
      <c r="GP52" s="246">
        <f t="shared" si="177"/>
        <v>0.16849108180645153</v>
      </c>
      <c r="GQ52" s="247">
        <f t="shared" si="189"/>
        <v>0.17616369393548384</v>
      </c>
      <c r="GR52" s="246">
        <f t="shared" si="190"/>
        <v>6.6446770171265856E-3</v>
      </c>
      <c r="GS52" s="246">
        <f t="shared" si="250"/>
        <v>3.7718765250006938</v>
      </c>
      <c r="GU52" s="249">
        <f t="shared" si="178"/>
        <v>2.1984074483317961E-2</v>
      </c>
      <c r="GV52" s="249">
        <f t="shared" si="179"/>
        <v>2.1984074483317961E-2</v>
      </c>
      <c r="GW52" s="249" t="e">
        <f t="shared" si="180"/>
        <v>#DIV/0!</v>
      </c>
      <c r="GX52" s="249" t="e">
        <f t="shared" si="251"/>
        <v>#DIV/0!</v>
      </c>
      <c r="GZ52" s="240">
        <f t="shared" si="181"/>
        <v>2.4070154543778793E-2</v>
      </c>
      <c r="HA52" s="240">
        <f t="shared" si="182"/>
        <v>2.4070154543778793E-2</v>
      </c>
      <c r="HB52" s="240" t="e">
        <f t="shared" si="183"/>
        <v>#DIV/0!</v>
      </c>
      <c r="HC52" s="240" t="e">
        <f t="shared" si="252"/>
        <v>#DIV/0!</v>
      </c>
      <c r="HE52" s="234">
        <f t="shared" si="184"/>
        <v>9.5048079690322515E-2</v>
      </c>
      <c r="HF52" s="251">
        <f t="shared" si="185"/>
        <v>9.5048079690322515E-2</v>
      </c>
      <c r="HG52" s="234" t="e">
        <f t="shared" si="186"/>
        <v>#DIV/0!</v>
      </c>
      <c r="HH52" s="234" t="e">
        <f t="shared" si="253"/>
        <v>#DIV/0!</v>
      </c>
    </row>
    <row r="53" spans="2:216" ht="15.6" x14ac:dyDescent="0.25">
      <c r="B53">
        <v>49</v>
      </c>
      <c r="C53" s="124">
        <f t="shared" si="52"/>
        <v>80.262246971556124</v>
      </c>
      <c r="D53" s="124">
        <f t="shared" si="53"/>
        <v>173.82546578192631</v>
      </c>
      <c r="E53" s="29">
        <f t="shared" si="201"/>
        <v>2.0071933284581371</v>
      </c>
      <c r="F53" s="29">
        <f t="shared" si="202"/>
        <v>1.9492423942660875</v>
      </c>
      <c r="G53" s="29">
        <f t="shared" si="203"/>
        <v>1.9816830692303553</v>
      </c>
      <c r="H53" s="29">
        <f t="shared" si="204"/>
        <v>2.0071933284581371</v>
      </c>
      <c r="I53" s="29">
        <f t="shared" si="205"/>
        <v>1.9686164391757439</v>
      </c>
      <c r="J53" s="125">
        <f t="shared" si="206"/>
        <v>1.9827857119176922</v>
      </c>
      <c r="K53" s="126">
        <f t="shared" si="207"/>
        <v>2.5092836429840469E-2</v>
      </c>
      <c r="L53" s="126">
        <f t="shared" si="55"/>
        <v>1.2655344588685489</v>
      </c>
      <c r="N53" s="138">
        <f t="shared" si="56"/>
        <v>416.38499950271535</v>
      </c>
      <c r="O53" s="138">
        <f t="shared" si="57"/>
        <v>325.79239999999999</v>
      </c>
      <c r="P53" s="138">
        <f t="shared" si="58"/>
        <v>353.78495816876227</v>
      </c>
      <c r="Q53" s="138">
        <f t="shared" si="59"/>
        <v>425.13031696730707</v>
      </c>
      <c r="R53" s="138">
        <f t="shared" si="60"/>
        <v>416.38499950271535</v>
      </c>
      <c r="S53" s="138">
        <f t="shared" si="61"/>
        <v>381.92430000000002</v>
      </c>
      <c r="T53" s="138">
        <f t="shared" si="62"/>
        <v>386.56699569025</v>
      </c>
      <c r="U53" s="138">
        <f t="shared" si="63"/>
        <v>40.13757476301668</v>
      </c>
      <c r="V53" s="138">
        <f t="shared" si="64"/>
        <v>10.383083711362231</v>
      </c>
      <c r="X53" s="227">
        <f t="shared" si="65"/>
        <v>0.44572691734999997</v>
      </c>
      <c r="Y53" s="227">
        <f t="shared" si="66"/>
        <v>0.47</v>
      </c>
      <c r="Z53" s="227">
        <f t="shared" si="67"/>
        <v>0.44572691734999997</v>
      </c>
      <c r="AA53" s="227">
        <f t="shared" si="68"/>
        <v>0.45381794489999999</v>
      </c>
      <c r="AB53" s="227">
        <f t="shared" si="69"/>
        <v>1.4014070802039534E-2</v>
      </c>
      <c r="AC53" s="227">
        <f t="shared" si="70"/>
        <v>3.0880380468708819</v>
      </c>
      <c r="AE53" s="228">
        <f t="shared" si="71"/>
        <v>4.4265828616100409</v>
      </c>
      <c r="AF53" s="228">
        <f t="shared" si="72"/>
        <v>5.2850000000000001</v>
      </c>
      <c r="AG53" s="228">
        <f t="shared" si="73"/>
        <v>4.4265828616100409</v>
      </c>
      <c r="AH53" s="228">
        <f t="shared" si="74"/>
        <v>7.1972691815992507</v>
      </c>
      <c r="AI53" s="228">
        <f t="shared" si="75"/>
        <v>5.2850000000000001</v>
      </c>
      <c r="AJ53" s="228">
        <f t="shared" si="76"/>
        <v>6.1079569945344652</v>
      </c>
      <c r="AK53" s="228">
        <f t="shared" si="77"/>
        <v>5.4647890761187874</v>
      </c>
      <c r="AL53" s="228">
        <f t="shared" si="78"/>
        <v>5.4561687107817978</v>
      </c>
      <c r="AM53" s="228">
        <f t="shared" si="79"/>
        <v>0.9691082347315837</v>
      </c>
      <c r="AN53" s="228">
        <f t="shared" si="80"/>
        <v>17.76169847564562</v>
      </c>
      <c r="AP53" s="229">
        <f t="shared" si="192"/>
        <v>1.4167720064353022</v>
      </c>
      <c r="AQ53" s="229">
        <f t="shared" si="193"/>
        <v>1.4</v>
      </c>
      <c r="AR53" s="229">
        <f t="shared" si="194"/>
        <v>1.47</v>
      </c>
      <c r="AS53" s="229">
        <f t="shared" si="195"/>
        <v>1.3768258712500216</v>
      </c>
      <c r="AT53" s="229">
        <f t="shared" si="196"/>
        <v>1.4167720064353022</v>
      </c>
      <c r="AU53" s="229">
        <f t="shared" si="197"/>
        <v>0.91372365845592651</v>
      </c>
      <c r="AV53" s="229">
        <f t="shared" si="198"/>
        <v>1.4</v>
      </c>
      <c r="AW53" s="229">
        <f t="shared" si="199"/>
        <v>1.4499999995235651</v>
      </c>
      <c r="AX53" s="229">
        <f t="shared" si="200"/>
        <v>1.4046475385028701</v>
      </c>
      <c r="AY53" s="229">
        <f t="shared" si="90"/>
        <v>1.3609712311781097</v>
      </c>
      <c r="AZ53" s="229">
        <f t="shared" si="91"/>
        <v>0.17002820258462292</v>
      </c>
      <c r="BA53" s="229">
        <f t="shared" si="92"/>
        <v>12.49315185284555</v>
      </c>
      <c r="BC53" s="230">
        <f t="shared" si="93"/>
        <v>9.65</v>
      </c>
      <c r="BD53" s="230">
        <f t="shared" si="94"/>
        <v>11.73</v>
      </c>
      <c r="BE53" s="230">
        <f t="shared" si="95"/>
        <v>9.65</v>
      </c>
      <c r="BF53" s="230">
        <f t="shared" si="96"/>
        <v>9.2001230769230737</v>
      </c>
      <c r="BG53" s="230">
        <f t="shared" si="97"/>
        <v>10.05753076923077</v>
      </c>
      <c r="BH53" s="230">
        <f t="shared" si="98"/>
        <v>1.1349690061022042</v>
      </c>
      <c r="BI53" s="230">
        <f t="shared" si="99"/>
        <v>11.284767923101368</v>
      </c>
      <c r="BK53" s="227">
        <f t="shared" si="208"/>
        <v>19.600000000000001</v>
      </c>
      <c r="BL53" s="227">
        <f t="shared" si="209"/>
        <v>31.73</v>
      </c>
      <c r="BM53" s="227">
        <f t="shared" si="210"/>
        <v>40.494782936510589</v>
      </c>
      <c r="BN53" s="227">
        <f t="shared" si="211"/>
        <v>22.86796040201121</v>
      </c>
      <c r="BO53" s="227">
        <f t="shared" si="212"/>
        <v>19.600000000000001</v>
      </c>
      <c r="BP53" s="227">
        <f t="shared" si="213"/>
        <v>29.416127615427719</v>
      </c>
      <c r="BQ53" s="227">
        <f t="shared" si="214"/>
        <v>31.86</v>
      </c>
      <c r="BR53" s="227">
        <f t="shared" si="100"/>
        <v>27.938410136278499</v>
      </c>
      <c r="BS53" s="227">
        <f t="shared" si="101"/>
        <v>7.6851457946463846</v>
      </c>
      <c r="BT53" s="227">
        <f t="shared" si="215"/>
        <v>27.507455711186275</v>
      </c>
      <c r="BV53" s="231">
        <f t="shared" si="102"/>
        <v>0.26</v>
      </c>
      <c r="BW53" s="231">
        <f t="shared" si="103"/>
        <v>0.31336432664741803</v>
      </c>
      <c r="BX53" s="231">
        <f t="shared" si="104"/>
        <v>0.32391042510380108</v>
      </c>
      <c r="BY53" s="231">
        <f t="shared" si="105"/>
        <v>0.26</v>
      </c>
      <c r="BZ53" s="231">
        <f t="shared" si="106"/>
        <v>0.33710783031628394</v>
      </c>
      <c r="CA53" s="231">
        <f t="shared" si="107"/>
        <v>0.31251695436751931</v>
      </c>
      <c r="CB53" s="231">
        <f t="shared" si="108"/>
        <v>0.48</v>
      </c>
      <c r="CC53" s="231">
        <f t="shared" si="109"/>
        <v>0.45234711095565766</v>
      </c>
      <c r="CD53" s="231">
        <f t="shared" si="110"/>
        <v>0.34240583092383503</v>
      </c>
      <c r="CE53" s="231">
        <f t="shared" si="111"/>
        <v>8.1685446438161419E-2</v>
      </c>
      <c r="CF53" s="231">
        <f t="shared" si="216"/>
        <v>23.856324589382236</v>
      </c>
      <c r="CH53" s="232">
        <f t="shared" si="112"/>
        <v>1.4758749662690869</v>
      </c>
      <c r="CI53" s="232">
        <f t="shared" si="113"/>
        <v>1.52</v>
      </c>
      <c r="CJ53" s="232">
        <f t="shared" si="114"/>
        <v>2.1</v>
      </c>
      <c r="CK53" s="232">
        <f t="shared" si="115"/>
        <v>1.9825073466467509</v>
      </c>
      <c r="CL53" s="232">
        <f t="shared" si="116"/>
        <v>1.8901252188451005</v>
      </c>
      <c r="CM53" s="232">
        <f t="shared" si="117"/>
        <v>1.5329566970822539</v>
      </c>
      <c r="CN53" s="232">
        <f t="shared" si="118"/>
        <v>1.478766393338393</v>
      </c>
      <c r="CO53" s="232">
        <f t="shared" si="119"/>
        <v>1.8826128502546822</v>
      </c>
      <c r="CP53" s="232">
        <f t="shared" si="120"/>
        <v>1.52</v>
      </c>
      <c r="CQ53" s="232">
        <f t="shared" si="121"/>
        <v>1.4832696287074116</v>
      </c>
      <c r="CR53" s="232">
        <f t="shared" si="122"/>
        <v>1.6866113101143678</v>
      </c>
      <c r="CS53" s="232">
        <f t="shared" si="123"/>
        <v>0.24638829811038163</v>
      </c>
      <c r="CT53" s="232">
        <f t="shared" si="217"/>
        <v>14.608481315927749</v>
      </c>
      <c r="CV53" s="229">
        <f t="shared" si="218"/>
        <v>0.83</v>
      </c>
      <c r="CW53" s="229">
        <f t="shared" si="219"/>
        <v>1.19</v>
      </c>
      <c r="CX53" s="229">
        <f t="shared" si="220"/>
        <v>0.75817100917460423</v>
      </c>
      <c r="CY53" s="229">
        <f t="shared" si="221"/>
        <v>0.51937763489383804</v>
      </c>
      <c r="CZ53" s="229">
        <f t="shared" si="222"/>
        <v>1.1997655065249444</v>
      </c>
      <c r="DA53" s="229">
        <f t="shared" si="223"/>
        <v>0.83</v>
      </c>
      <c r="DB53" s="229">
        <f t="shared" si="224"/>
        <v>0.54578327940658156</v>
      </c>
      <c r="DC53" s="229">
        <f t="shared" si="225"/>
        <v>0.89</v>
      </c>
      <c r="DD53" s="229">
        <f t="shared" si="226"/>
        <v>0.84538717874999592</v>
      </c>
      <c r="DE53" s="229">
        <f t="shared" si="227"/>
        <v>0.25367504791664774</v>
      </c>
      <c r="DF53" s="229">
        <f t="shared" si="228"/>
        <v>30.006966546587101</v>
      </c>
      <c r="DH53" s="234">
        <f t="shared" si="124"/>
        <v>7.2520000000000001E-2</v>
      </c>
      <c r="DI53" s="234">
        <f t="shared" si="125"/>
        <v>9.8000000000000004E-2</v>
      </c>
      <c r="DJ53" s="234">
        <f t="shared" si="126"/>
        <v>0.11250135994837673</v>
      </c>
      <c r="DK53" s="234">
        <f t="shared" si="229"/>
        <v>9.4340453316125575E-2</v>
      </c>
      <c r="DL53" s="234">
        <f t="shared" si="230"/>
        <v>2.0240343309316872E-2</v>
      </c>
      <c r="DM53" s="234">
        <f t="shared" si="231"/>
        <v>21.454574997104871</v>
      </c>
      <c r="DO53" s="229">
        <f t="shared" si="127"/>
        <v>2.38</v>
      </c>
      <c r="DP53" s="229">
        <f t="shared" si="128"/>
        <v>3.49</v>
      </c>
      <c r="DQ53" s="229">
        <f t="shared" si="129"/>
        <v>3.7973867672259543</v>
      </c>
      <c r="DR53" s="229">
        <f t="shared" si="130"/>
        <v>2.974178567876538</v>
      </c>
      <c r="DS53" s="229">
        <f t="shared" si="131"/>
        <v>2.6731162709475544</v>
      </c>
      <c r="DT53" s="229">
        <f t="shared" si="132"/>
        <v>2.38</v>
      </c>
      <c r="DU53" s="229">
        <f t="shared" si="133"/>
        <v>2.2147999999999999</v>
      </c>
      <c r="DV53" s="229">
        <f t="shared" si="134"/>
        <v>3.3602578213833705</v>
      </c>
      <c r="DW53" s="229">
        <f t="shared" si="232"/>
        <v>2.9087174284291772</v>
      </c>
      <c r="DX53" s="229">
        <f t="shared" si="233"/>
        <v>0.58941981765491003</v>
      </c>
      <c r="DY53" s="229">
        <f t="shared" si="234"/>
        <v>20.263907792969086</v>
      </c>
      <c r="EA53" s="235">
        <f t="shared" si="135"/>
        <v>0.14000000000000001</v>
      </c>
      <c r="EB53" s="235">
        <f t="shared" si="136"/>
        <v>0.2145361129819536</v>
      </c>
      <c r="EC53" s="235">
        <f t="shared" si="137"/>
        <v>0.14000000000000001</v>
      </c>
      <c r="ED53" s="235">
        <f t="shared" si="138"/>
        <v>0.16855071864026785</v>
      </c>
      <c r="EE53" s="235">
        <f t="shared" si="139"/>
        <v>0.1396271435654286</v>
      </c>
      <c r="EF53" s="235">
        <f t="shared" si="140"/>
        <v>0.16054279503753002</v>
      </c>
      <c r="EG53" s="235">
        <f t="shared" si="141"/>
        <v>3.2637718040195593E-2</v>
      </c>
      <c r="EH53" s="235">
        <f t="shared" si="235"/>
        <v>20.32960621656418</v>
      </c>
      <c r="EJ53" s="229">
        <f t="shared" si="142"/>
        <v>7.5426305676856105</v>
      </c>
      <c r="EK53" s="229">
        <f t="shared" si="143"/>
        <v>16.599506525755874</v>
      </c>
      <c r="EL53" s="229">
        <f t="shared" si="144"/>
        <v>6.91</v>
      </c>
      <c r="EM53" s="229">
        <f t="shared" si="145"/>
        <v>14.4</v>
      </c>
      <c r="EN53" s="229">
        <f t="shared" si="146"/>
        <v>21.40230539317453</v>
      </c>
      <c r="EO53" s="229">
        <f t="shared" si="236"/>
        <v>21.605651204185556</v>
      </c>
      <c r="EP53" s="229">
        <f t="shared" si="147"/>
        <v>20.888384447364938</v>
      </c>
      <c r="EQ53" s="229">
        <f t="shared" si="148"/>
        <v>15.621211162595218</v>
      </c>
      <c r="ER53" s="229">
        <f t="shared" si="149"/>
        <v>6.3321240564155783</v>
      </c>
      <c r="ES53" s="229">
        <f t="shared" si="237"/>
        <v>40.535423217232761</v>
      </c>
      <c r="EU53" s="238">
        <f t="shared" si="191"/>
        <v>1.6052449394311226E-2</v>
      </c>
      <c r="EV53" s="238">
        <f t="shared" si="151"/>
        <v>1.6052449394311226E-2</v>
      </c>
      <c r="EW53" s="238" t="e">
        <f t="shared" si="152"/>
        <v>#DIV/0!</v>
      </c>
      <c r="EX53" s="238" t="e">
        <f t="shared" si="238"/>
        <v>#DIV/0!</v>
      </c>
      <c r="EZ53" s="240">
        <f t="shared" si="153"/>
        <v>2.7449688464272197E-2</v>
      </c>
      <c r="FA53" s="240">
        <f t="shared" si="154"/>
        <v>2.7449688464272197E-2</v>
      </c>
      <c r="FB53" s="240" t="e">
        <f t="shared" si="155"/>
        <v>#DIV/0!</v>
      </c>
      <c r="FC53" s="240" t="e">
        <f t="shared" si="239"/>
        <v>#DIV/0!</v>
      </c>
      <c r="FE53" s="236">
        <f t="shared" si="156"/>
        <v>0.9</v>
      </c>
      <c r="FF53" s="236">
        <f t="shared" si="157"/>
        <v>1.2</v>
      </c>
      <c r="FG53" s="236">
        <f t="shared" si="158"/>
        <v>1.3291867199059955</v>
      </c>
      <c r="FH53" s="236">
        <f t="shared" si="159"/>
        <v>1.3243270750306761</v>
      </c>
      <c r="FI53" s="236">
        <f t="shared" si="160"/>
        <v>0.9</v>
      </c>
      <c r="FJ53" s="236">
        <f t="shared" si="161"/>
        <v>1.1236714576017857</v>
      </c>
      <c r="FK53" s="236">
        <f t="shared" si="240"/>
        <v>1.1295308754230764</v>
      </c>
      <c r="FL53" s="236">
        <f t="shared" si="241"/>
        <v>0.19399850074604155</v>
      </c>
      <c r="FM53" s="236">
        <f t="shared" si="242"/>
        <v>17.175139251804659</v>
      </c>
      <c r="FO53" s="227">
        <f t="shared" si="162"/>
        <v>0.3</v>
      </c>
      <c r="FP53" s="227">
        <f t="shared" si="163"/>
        <v>0.32</v>
      </c>
      <c r="FQ53" s="227">
        <f t="shared" si="164"/>
        <v>0.35297580345847562</v>
      </c>
      <c r="FR53" s="227">
        <f t="shared" si="165"/>
        <v>0.3</v>
      </c>
      <c r="FS53" s="227">
        <f t="shared" si="166"/>
        <v>0.36118011137200251</v>
      </c>
      <c r="FT53" s="227">
        <f t="shared" si="243"/>
        <v>0.32683118296609565</v>
      </c>
      <c r="FU53" s="227">
        <f t="shared" si="244"/>
        <v>2.8939073424874756E-2</v>
      </c>
      <c r="FV53" s="227">
        <f t="shared" si="245"/>
        <v>8.8544407428457639</v>
      </c>
      <c r="FX53" s="230">
        <f t="shared" si="167"/>
        <v>2.94</v>
      </c>
      <c r="FY53" s="230">
        <f t="shared" si="168"/>
        <v>1.6855071864026787</v>
      </c>
      <c r="FZ53" s="230">
        <f t="shared" si="169"/>
        <v>2.94</v>
      </c>
      <c r="GA53" s="230">
        <f t="shared" si="170"/>
        <v>4.001094913969057</v>
      </c>
      <c r="GB53" s="230">
        <f t="shared" si="246"/>
        <v>2.8916505250929339</v>
      </c>
      <c r="GC53" s="230">
        <f t="shared" si="247"/>
        <v>0.94698186341717094</v>
      </c>
      <c r="GD53" s="230">
        <f t="shared" si="248"/>
        <v>32.748835144479855</v>
      </c>
      <c r="GF53" s="231">
        <f t="shared" si="171"/>
        <v>0.06</v>
      </c>
      <c r="GG53" s="231">
        <f t="shared" si="172"/>
        <v>0.05</v>
      </c>
      <c r="GH53" s="231">
        <f t="shared" si="173"/>
        <v>0.06</v>
      </c>
      <c r="GI53" s="231">
        <f t="shared" si="174"/>
        <v>6.4209797577244904E-2</v>
      </c>
      <c r="GJ53" s="245">
        <f t="shared" si="187"/>
        <v>5.8552449394311222E-2</v>
      </c>
      <c r="GK53" s="231">
        <f t="shared" si="188"/>
        <v>6.0371291360838408E-3</v>
      </c>
      <c r="GL53" s="231">
        <f t="shared" si="249"/>
        <v>10.310634650700692</v>
      </c>
      <c r="GN53" s="246">
        <f t="shared" si="175"/>
        <v>0.18</v>
      </c>
      <c r="GO53" s="246">
        <f t="shared" si="176"/>
        <v>0.18</v>
      </c>
      <c r="GP53" s="246">
        <f t="shared" si="177"/>
        <v>0.16855071864026785</v>
      </c>
      <c r="GQ53" s="247">
        <f t="shared" si="189"/>
        <v>0.17618357288008926</v>
      </c>
      <c r="GR53" s="246">
        <f t="shared" si="190"/>
        <v>6.610245675069115E-3</v>
      </c>
      <c r="GS53" s="246">
        <f t="shared" si="250"/>
        <v>3.751908062148368</v>
      </c>
      <c r="GU53" s="249">
        <f t="shared" si="178"/>
        <v>2.1991855670206378E-2</v>
      </c>
      <c r="GV53" s="249">
        <f t="shared" si="179"/>
        <v>2.1991855670206378E-2</v>
      </c>
      <c r="GW53" s="249" t="e">
        <f t="shared" si="180"/>
        <v>#DIV/0!</v>
      </c>
      <c r="GX53" s="249" t="e">
        <f t="shared" si="251"/>
        <v>#DIV/0!</v>
      </c>
      <c r="GZ53" s="240">
        <f t="shared" si="181"/>
        <v>2.4078674091466839E-2</v>
      </c>
      <c r="HA53" s="240">
        <f t="shared" si="182"/>
        <v>2.4078674091466839E-2</v>
      </c>
      <c r="HB53" s="240" t="e">
        <f t="shared" si="183"/>
        <v>#DIV/0!</v>
      </c>
      <c r="HC53" s="240" t="e">
        <f t="shared" si="252"/>
        <v>#DIV/0!</v>
      </c>
      <c r="HE53" s="234">
        <f t="shared" si="184"/>
        <v>9.5081873896151775E-2</v>
      </c>
      <c r="HF53" s="251">
        <f t="shared" si="185"/>
        <v>9.5081873896151775E-2</v>
      </c>
      <c r="HG53" s="234" t="e">
        <f t="shared" si="186"/>
        <v>#DIV/0!</v>
      </c>
      <c r="HH53" s="234" t="e">
        <f t="shared" si="253"/>
        <v>#DIV/0!</v>
      </c>
    </row>
    <row r="54" spans="2:216" ht="15.6" x14ac:dyDescent="0.25">
      <c r="B54">
        <v>50</v>
      </c>
      <c r="C54" s="124">
        <f t="shared" si="52"/>
        <v>80.284656205129068</v>
      </c>
      <c r="D54" s="124">
        <f t="shared" si="53"/>
        <v>173.91883200000024</v>
      </c>
      <c r="E54" s="29">
        <f t="shared" si="201"/>
        <v>2.0079375254909126</v>
      </c>
      <c r="F54" s="29">
        <f t="shared" si="202"/>
        <v>1.9502327741521963</v>
      </c>
      <c r="G54" s="29">
        <f t="shared" si="203"/>
        <v>1.982417169926739</v>
      </c>
      <c r="H54" s="29">
        <f t="shared" si="204"/>
        <v>2.0079375254909126</v>
      </c>
      <c r="I54" s="29">
        <f t="shared" si="205"/>
        <v>1.9694199396098009</v>
      </c>
      <c r="J54" s="125">
        <f t="shared" si="206"/>
        <v>1.9835889869341123</v>
      </c>
      <c r="K54" s="126">
        <f t="shared" si="207"/>
        <v>2.5002373127534248E-2</v>
      </c>
      <c r="L54" s="126">
        <f t="shared" si="55"/>
        <v>1.2604613804686715</v>
      </c>
      <c r="N54" s="138">
        <f t="shared" si="56"/>
        <v>416.55368725616353</v>
      </c>
      <c r="O54" s="138">
        <f t="shared" si="57"/>
        <v>325.79239999999999</v>
      </c>
      <c r="P54" s="138">
        <f t="shared" si="58"/>
        <v>352.35792984402053</v>
      </c>
      <c r="Q54" s="138">
        <f t="shared" si="59"/>
        <v>425.22063008931713</v>
      </c>
      <c r="R54" s="138">
        <f t="shared" si="60"/>
        <v>416.55368725616353</v>
      </c>
      <c r="S54" s="138">
        <f t="shared" si="61"/>
        <v>380.25</v>
      </c>
      <c r="T54" s="138">
        <f t="shared" si="62"/>
        <v>386.12138907427743</v>
      </c>
      <c r="U54" s="138">
        <f t="shared" si="63"/>
        <v>40.484642779191397</v>
      </c>
      <c r="V54" s="138">
        <f t="shared" si="64"/>
        <v>10.484952122505559</v>
      </c>
      <c r="X54" s="227">
        <f t="shared" si="65"/>
        <v>0.44510874999999994</v>
      </c>
      <c r="Y54" s="227">
        <f t="shared" si="66"/>
        <v>0.47</v>
      </c>
      <c r="Z54" s="227">
        <f t="shared" si="67"/>
        <v>0.44510874999999994</v>
      </c>
      <c r="AA54" s="227">
        <f t="shared" si="68"/>
        <v>0.45340583333333329</v>
      </c>
      <c r="AB54" s="227">
        <f t="shared" si="69"/>
        <v>1.437096988796629E-2</v>
      </c>
      <c r="AC54" s="227">
        <f t="shared" si="70"/>
        <v>3.1695599905087879</v>
      </c>
      <c r="AE54" s="228">
        <f t="shared" si="71"/>
        <v>4.4287496386349829</v>
      </c>
      <c r="AF54" s="228">
        <f t="shared" si="72"/>
        <v>5.2850000000000001</v>
      </c>
      <c r="AG54" s="228">
        <f t="shared" si="73"/>
        <v>4.4287496386349829</v>
      </c>
      <c r="AH54" s="228">
        <f t="shared" si="74"/>
        <v>7.1992780309274904</v>
      </c>
      <c r="AI54" s="228">
        <f t="shared" si="75"/>
        <v>5.2850000000000001</v>
      </c>
      <c r="AJ54" s="228">
        <f t="shared" si="76"/>
        <v>6.1096623372097927</v>
      </c>
      <c r="AK54" s="228">
        <f t="shared" si="77"/>
        <v>5.4673125721609379</v>
      </c>
      <c r="AL54" s="228">
        <f t="shared" si="78"/>
        <v>5.4576788882240264</v>
      </c>
      <c r="AM54" s="228">
        <f t="shared" si="79"/>
        <v>0.96913789848498</v>
      </c>
      <c r="AN54" s="228">
        <f t="shared" si="80"/>
        <v>17.757327214249965</v>
      </c>
      <c r="AP54" s="229">
        <f t="shared" si="192"/>
        <v>1.4173239436619718</v>
      </c>
      <c r="AQ54" s="229">
        <f t="shared" si="193"/>
        <v>1.4</v>
      </c>
      <c r="AR54" s="229">
        <f t="shared" si="194"/>
        <v>1.47</v>
      </c>
      <c r="AS54" s="229">
        <f t="shared" si="195"/>
        <v>1.3759678804164095</v>
      </c>
      <c r="AT54" s="229">
        <f t="shared" si="196"/>
        <v>1.4173239436619718</v>
      </c>
      <c r="AU54" s="229">
        <f t="shared" si="197"/>
        <v>0.93218588633997534</v>
      </c>
      <c r="AV54" s="229">
        <f t="shared" si="198"/>
        <v>1.4</v>
      </c>
      <c r="AW54" s="229">
        <f t="shared" si="199"/>
        <v>1.4499999996931585</v>
      </c>
      <c r="AX54" s="229">
        <f t="shared" si="200"/>
        <v>1.4024161687762948</v>
      </c>
      <c r="AY54" s="229">
        <f t="shared" si="90"/>
        <v>1.3628019802833091</v>
      </c>
      <c r="AZ54" s="229">
        <f t="shared" si="91"/>
        <v>0.16392850177839607</v>
      </c>
      <c r="BA54" s="229">
        <f t="shared" si="92"/>
        <v>12.028783649427735</v>
      </c>
      <c r="BC54" s="230">
        <f t="shared" si="93"/>
        <v>9.65</v>
      </c>
      <c r="BD54" s="230">
        <f t="shared" si="94"/>
        <v>11.73</v>
      </c>
      <c r="BE54" s="230">
        <f t="shared" si="95"/>
        <v>9.65</v>
      </c>
      <c r="BF54" s="230">
        <f t="shared" si="96"/>
        <v>8.9078153846153825</v>
      </c>
      <c r="BG54" s="230">
        <f t="shared" si="97"/>
        <v>9.9844538461538459</v>
      </c>
      <c r="BH54" s="230">
        <f t="shared" si="98"/>
        <v>1.2151543801077558</v>
      </c>
      <c r="BI54" s="230">
        <f t="shared" si="99"/>
        <v>12.170464191948271</v>
      </c>
      <c r="BK54" s="227">
        <f t="shared" si="208"/>
        <v>19.600000000000001</v>
      </c>
      <c r="BL54" s="227">
        <f t="shared" si="209"/>
        <v>31.73</v>
      </c>
      <c r="BM54" s="227">
        <f t="shared" si="210"/>
        <v>40.507564821292554</v>
      </c>
      <c r="BN54" s="227">
        <f t="shared" si="211"/>
        <v>22.870012936527203</v>
      </c>
      <c r="BO54" s="227">
        <f t="shared" si="212"/>
        <v>19.600000000000001</v>
      </c>
      <c r="BP54" s="227">
        <f t="shared" si="213"/>
        <v>29.22275194727197</v>
      </c>
      <c r="BQ54" s="227">
        <f t="shared" si="214"/>
        <v>31.86</v>
      </c>
      <c r="BR54" s="227">
        <f t="shared" si="100"/>
        <v>27.912904243584535</v>
      </c>
      <c r="BS54" s="227">
        <f t="shared" si="101"/>
        <v>7.6825610710154333</v>
      </c>
      <c r="BT54" s="227">
        <f t="shared" si="215"/>
        <v>27.523331158853466</v>
      </c>
      <c r="BV54" s="231">
        <f t="shared" si="102"/>
        <v>0.26</v>
      </c>
      <c r="BW54" s="231">
        <f t="shared" si="103"/>
        <v>0.31294658137415687</v>
      </c>
      <c r="BX54" s="231">
        <f t="shared" si="104"/>
        <v>0.32397668462304374</v>
      </c>
      <c r="BY54" s="231">
        <f t="shared" si="105"/>
        <v>0.26</v>
      </c>
      <c r="BZ54" s="231">
        <f t="shared" si="106"/>
        <v>0.33720069829954968</v>
      </c>
      <c r="CA54" s="231">
        <f t="shared" si="107"/>
        <v>0.31272184247839685</v>
      </c>
      <c r="CB54" s="231">
        <f t="shared" si="108"/>
        <v>0.48</v>
      </c>
      <c r="CC54" s="231">
        <f t="shared" si="109"/>
        <v>0.45271897376596726</v>
      </c>
      <c r="CD54" s="231">
        <f t="shared" si="110"/>
        <v>0.34244559756763931</v>
      </c>
      <c r="CE54" s="231">
        <f t="shared" si="111"/>
        <v>8.1764721286967185E-2</v>
      </c>
      <c r="CF54" s="231">
        <f t="shared" si="216"/>
        <v>23.876703881648574</v>
      </c>
      <c r="CH54" s="232">
        <f t="shared" si="112"/>
        <v>1.4765882053189681</v>
      </c>
      <c r="CI54" s="232">
        <f t="shared" si="113"/>
        <v>1.52</v>
      </c>
      <c r="CJ54" s="232">
        <f t="shared" si="114"/>
        <v>2.1</v>
      </c>
      <c r="CK54" s="232">
        <f t="shared" si="115"/>
        <v>1.9830550152568103</v>
      </c>
      <c r="CL54" s="232">
        <f t="shared" si="116"/>
        <v>1.8862453469971303</v>
      </c>
      <c r="CM54" s="232">
        <f t="shared" si="117"/>
        <v>1.5332905282199583</v>
      </c>
      <c r="CN54" s="232">
        <f t="shared" si="118"/>
        <v>1.4794810297144316</v>
      </c>
      <c r="CO54" s="232">
        <f t="shared" si="119"/>
        <v>1.883112595679524</v>
      </c>
      <c r="CP54" s="232">
        <f t="shared" si="120"/>
        <v>1.52</v>
      </c>
      <c r="CQ54" s="232">
        <f t="shared" si="121"/>
        <v>1.483972554317762</v>
      </c>
      <c r="CR54" s="232">
        <f t="shared" si="122"/>
        <v>1.6865745275504582</v>
      </c>
      <c r="CS54" s="232">
        <f t="shared" si="123"/>
        <v>0.2459305710650109</v>
      </c>
      <c r="CT54" s="232">
        <f t="shared" si="217"/>
        <v>14.581660463127873</v>
      </c>
      <c r="CV54" s="229">
        <f t="shared" si="218"/>
        <v>0.83</v>
      </c>
      <c r="CW54" s="229">
        <f t="shared" si="219"/>
        <v>1.19</v>
      </c>
      <c r="CX54" s="229">
        <f t="shared" si="220"/>
        <v>0.76007648965649288</v>
      </c>
      <c r="CY54" s="229">
        <f t="shared" si="221"/>
        <v>0.51976125496800152</v>
      </c>
      <c r="CZ54" s="229">
        <f t="shared" si="222"/>
        <v>1.2000186214155033</v>
      </c>
      <c r="DA54" s="229">
        <f t="shared" si="223"/>
        <v>0.83</v>
      </c>
      <c r="DB54" s="229">
        <f t="shared" si="224"/>
        <v>0.54593566219487766</v>
      </c>
      <c r="DC54" s="229">
        <f t="shared" si="225"/>
        <v>0.89</v>
      </c>
      <c r="DD54" s="229">
        <f t="shared" si="226"/>
        <v>0.84572400352935939</v>
      </c>
      <c r="DE54" s="229">
        <f t="shared" si="227"/>
        <v>0.25353662742681632</v>
      </c>
      <c r="DF54" s="229">
        <f t="shared" si="228"/>
        <v>29.978648633450401</v>
      </c>
      <c r="DH54" s="234">
        <f t="shared" si="124"/>
        <v>7.3999999999999996E-2</v>
      </c>
      <c r="DI54" s="234">
        <f t="shared" si="125"/>
        <v>0.1</v>
      </c>
      <c r="DJ54" s="234">
        <f t="shared" si="126"/>
        <v>0.11257801156063207</v>
      </c>
      <c r="DK54" s="234">
        <f t="shared" si="229"/>
        <v>9.5526003853544025E-2</v>
      </c>
      <c r="DL54" s="234">
        <f t="shared" si="230"/>
        <v>1.9674303675910491E-2</v>
      </c>
      <c r="DM54" s="234">
        <f t="shared" si="231"/>
        <v>20.595757052785551</v>
      </c>
      <c r="DO54" s="229">
        <f t="shared" si="127"/>
        <v>2.38</v>
      </c>
      <c r="DP54" s="229">
        <f t="shared" si="128"/>
        <v>3.49</v>
      </c>
      <c r="DQ54" s="229">
        <f t="shared" si="129"/>
        <v>3.7989283774059728</v>
      </c>
      <c r="DR54" s="229">
        <f t="shared" si="130"/>
        <v>2.9753834804011685</v>
      </c>
      <c r="DS54" s="229">
        <f t="shared" si="131"/>
        <v>2.6737110636547086</v>
      </c>
      <c r="DT54" s="229">
        <f t="shared" si="132"/>
        <v>2.38</v>
      </c>
      <c r="DU54" s="229">
        <f t="shared" si="133"/>
        <v>2.2599999999999998</v>
      </c>
      <c r="DV54" s="229">
        <f t="shared" si="134"/>
        <v>3.3646874447684061</v>
      </c>
      <c r="DW54" s="229">
        <f t="shared" si="232"/>
        <v>2.9153387957787817</v>
      </c>
      <c r="DX54" s="229">
        <f t="shared" si="233"/>
        <v>0.58279054943965836</v>
      </c>
      <c r="DY54" s="229">
        <f t="shared" si="234"/>
        <v>19.990491337867851</v>
      </c>
      <c r="EA54" s="235">
        <f t="shared" si="135"/>
        <v>0.14000000000000001</v>
      </c>
      <c r="EB54" s="235">
        <f t="shared" si="136"/>
        <v>0.21458599041759768</v>
      </c>
      <c r="EC54" s="235">
        <f t="shared" si="137"/>
        <v>0.14000000000000001</v>
      </c>
      <c r="ED54" s="235">
        <f t="shared" si="138"/>
        <v>0.16859777803077103</v>
      </c>
      <c r="EE54" s="235">
        <f t="shared" si="139"/>
        <v>0.13971454022105276</v>
      </c>
      <c r="EF54" s="235">
        <f t="shared" si="140"/>
        <v>0.16057966173388433</v>
      </c>
      <c r="EG54" s="235">
        <f t="shared" si="141"/>
        <v>3.2647250943804815E-2</v>
      </c>
      <c r="EH54" s="235">
        <f t="shared" si="235"/>
        <v>20.330875399344446</v>
      </c>
      <c r="EJ54" s="229">
        <f t="shared" si="142"/>
        <v>7.5426305676856105</v>
      </c>
      <c r="EK54" s="229">
        <f t="shared" si="143"/>
        <v>16.62559072041272</v>
      </c>
      <c r="EL54" s="229">
        <f t="shared" si="144"/>
        <v>6.91</v>
      </c>
      <c r="EM54" s="229">
        <f t="shared" si="145"/>
        <v>14.4</v>
      </c>
      <c r="EN54" s="229">
        <f t="shared" si="146"/>
        <v>21.51809370399754</v>
      </c>
      <c r="EO54" s="229">
        <f t="shared" si="236"/>
        <v>21.680447881401861</v>
      </c>
      <c r="EP54" s="229">
        <f t="shared" si="147"/>
        <v>20.904051869129383</v>
      </c>
      <c r="EQ54" s="229">
        <f t="shared" si="148"/>
        <v>15.65440210608959</v>
      </c>
      <c r="ER54" s="229">
        <f t="shared" si="149"/>
        <v>6.3644463902829784</v>
      </c>
      <c r="ES54" s="229">
        <f t="shared" si="237"/>
        <v>40.65595317630941</v>
      </c>
      <c r="EU54" s="238">
        <f t="shared" si="191"/>
        <v>1.6056931241025814E-2</v>
      </c>
      <c r="EV54" s="238">
        <f t="shared" si="151"/>
        <v>1.6056931241025814E-2</v>
      </c>
      <c r="EW54" s="238" t="e">
        <f t="shared" si="152"/>
        <v>#DIV/0!</v>
      </c>
      <c r="EX54" s="238" t="e">
        <f t="shared" si="238"/>
        <v>#DIV/0!</v>
      </c>
      <c r="EZ54" s="240">
        <f t="shared" si="153"/>
        <v>2.7457352422154142E-2</v>
      </c>
      <c r="FA54" s="240">
        <f t="shared" si="154"/>
        <v>2.7457352422154142E-2</v>
      </c>
      <c r="FB54" s="240" t="e">
        <f t="shared" si="155"/>
        <v>#DIV/0!</v>
      </c>
      <c r="FC54" s="240" t="e">
        <f t="shared" si="239"/>
        <v>#DIV/0!</v>
      </c>
      <c r="FE54" s="236">
        <f t="shared" si="156"/>
        <v>0.9</v>
      </c>
      <c r="FF54" s="236">
        <f t="shared" si="157"/>
        <v>1.2</v>
      </c>
      <c r="FG54" s="236">
        <f t="shared" si="158"/>
        <v>1.3288441356954153</v>
      </c>
      <c r="FH54" s="236">
        <f t="shared" si="159"/>
        <v>1.3246968273846296</v>
      </c>
      <c r="FI54" s="236">
        <f t="shared" si="160"/>
        <v>0.9</v>
      </c>
      <c r="FJ54" s="236">
        <f t="shared" si="161"/>
        <v>1.1239851868718069</v>
      </c>
      <c r="FK54" s="236">
        <f t="shared" si="240"/>
        <v>1.129587691658642</v>
      </c>
      <c r="FL54" s="236">
        <f t="shared" si="241"/>
        <v>0.19400051694882309</v>
      </c>
      <c r="FM54" s="236">
        <f t="shared" si="242"/>
        <v>17.174453863246363</v>
      </c>
      <c r="FO54" s="227">
        <f t="shared" si="162"/>
        <v>0.3</v>
      </c>
      <c r="FP54" s="227">
        <f t="shared" si="163"/>
        <v>0.32</v>
      </c>
      <c r="FQ54" s="227">
        <f t="shared" si="164"/>
        <v>0.35320847941129979</v>
      </c>
      <c r="FR54" s="227">
        <f t="shared" si="165"/>
        <v>0.3</v>
      </c>
      <c r="FS54" s="227">
        <f t="shared" si="166"/>
        <v>0.36128095292308077</v>
      </c>
      <c r="FT54" s="227">
        <f t="shared" si="243"/>
        <v>0.32689788646687612</v>
      </c>
      <c r="FU54" s="227">
        <f t="shared" si="244"/>
        <v>2.9021612595179696E-2</v>
      </c>
      <c r="FV54" s="227">
        <f t="shared" si="245"/>
        <v>8.8778832157180041</v>
      </c>
      <c r="FX54" s="230">
        <f t="shared" si="167"/>
        <v>2.94</v>
      </c>
      <c r="FY54" s="230">
        <f t="shared" si="168"/>
        <v>1.6859777803077105</v>
      </c>
      <c r="FZ54" s="230">
        <f t="shared" si="169"/>
        <v>2.94</v>
      </c>
      <c r="GA54" s="230">
        <f t="shared" si="170"/>
        <v>4.0034856920948538</v>
      </c>
      <c r="GB54" s="230">
        <f t="shared" si="246"/>
        <v>2.892365868100641</v>
      </c>
      <c r="GC54" s="230">
        <f t="shared" si="247"/>
        <v>0.94771611478776063</v>
      </c>
      <c r="GD54" s="230">
        <f t="shared" si="248"/>
        <v>32.766121507653764</v>
      </c>
      <c r="GF54" s="231">
        <f t="shared" si="171"/>
        <v>0.06</v>
      </c>
      <c r="GG54" s="231">
        <f t="shared" si="172"/>
        <v>0.05</v>
      </c>
      <c r="GH54" s="231">
        <f t="shared" si="173"/>
        <v>0.06</v>
      </c>
      <c r="GI54" s="231">
        <f t="shared" si="174"/>
        <v>6.4227724964103255E-2</v>
      </c>
      <c r="GJ54" s="245">
        <f t="shared" si="187"/>
        <v>5.855693124102581E-2</v>
      </c>
      <c r="GK54" s="231">
        <f t="shared" si="188"/>
        <v>6.0427330626572334E-3</v>
      </c>
      <c r="GL54" s="231">
        <f t="shared" si="249"/>
        <v>10.319415540723572</v>
      </c>
      <c r="GN54" s="246">
        <f t="shared" si="175"/>
        <v>0.18</v>
      </c>
      <c r="GO54" s="246">
        <f t="shared" si="176"/>
        <v>0.18</v>
      </c>
      <c r="GP54" s="246">
        <f t="shared" si="177"/>
        <v>0.16859777803077103</v>
      </c>
      <c r="GQ54" s="247">
        <f t="shared" si="189"/>
        <v>0.17619925934359035</v>
      </c>
      <c r="GR54" s="246">
        <f t="shared" si="190"/>
        <v>6.5830759232942074E-3</v>
      </c>
      <c r="GS54" s="246">
        <f t="shared" si="250"/>
        <v>3.7361541403855405</v>
      </c>
      <c r="GU54" s="249">
        <f t="shared" si="178"/>
        <v>2.1997995800205363E-2</v>
      </c>
      <c r="GV54" s="249">
        <f t="shared" si="179"/>
        <v>2.1997995800205363E-2</v>
      </c>
      <c r="GW54" s="249" t="e">
        <f t="shared" si="180"/>
        <v>#DIV/0!</v>
      </c>
      <c r="GX54" s="249" t="e">
        <f t="shared" si="251"/>
        <v>#DIV/0!</v>
      </c>
      <c r="GZ54" s="240">
        <f t="shared" si="181"/>
        <v>2.4085396861538721E-2</v>
      </c>
      <c r="HA54" s="240">
        <f t="shared" si="182"/>
        <v>2.4085396861538721E-2</v>
      </c>
      <c r="HB54" s="240" t="e">
        <f t="shared" si="183"/>
        <v>#DIV/0!</v>
      </c>
      <c r="HC54" s="240" t="e">
        <f t="shared" si="252"/>
        <v>#DIV/0!</v>
      </c>
      <c r="HE54" s="234">
        <f t="shared" si="184"/>
        <v>9.5108540884103573E-2</v>
      </c>
      <c r="HF54" s="251">
        <f t="shared" si="185"/>
        <v>9.5108540884103573E-2</v>
      </c>
      <c r="HG54" s="234" t="e">
        <f t="shared" si="186"/>
        <v>#DIV/0!</v>
      </c>
      <c r="HH54" s="234" t="e">
        <f t="shared" si="253"/>
        <v>#DIV/0!</v>
      </c>
    </row>
    <row r="55" spans="2:216" ht="15.6" x14ac:dyDescent="0.25">
      <c r="B55">
        <v>51</v>
      </c>
      <c r="C55" s="124">
        <f t="shared" si="52"/>
        <v>80.304165802874195</v>
      </c>
      <c r="D55" s="124">
        <f t="shared" si="53"/>
        <v>174.03263591300436</v>
      </c>
      <c r="E55" s="29">
        <f t="shared" si="201"/>
        <v>2.008743040311419</v>
      </c>
      <c r="F55" s="29">
        <f t="shared" si="202"/>
        <v>1.9513593858497531</v>
      </c>
      <c r="G55" s="29">
        <f t="shared" si="203"/>
        <v>1.9832126320878098</v>
      </c>
      <c r="H55" s="29">
        <f t="shared" si="204"/>
        <v>2.008743040311419</v>
      </c>
      <c r="I55" s="29">
        <f t="shared" si="205"/>
        <v>1.9703035334032744</v>
      </c>
      <c r="J55" s="125">
        <f t="shared" si="206"/>
        <v>1.9844723263927349</v>
      </c>
      <c r="K55" s="126">
        <f t="shared" si="207"/>
        <v>2.4884450286113972E-2</v>
      </c>
      <c r="L55" s="126">
        <f t="shared" si="55"/>
        <v>1.2539580398859762</v>
      </c>
      <c r="N55" s="138">
        <f t="shared" si="56"/>
        <v>416.73918854247432</v>
      </c>
      <c r="O55" s="138">
        <f t="shared" si="57"/>
        <v>325.79239999999999</v>
      </c>
      <c r="P55" s="138">
        <f t="shared" si="58"/>
        <v>350.94809021169931</v>
      </c>
      <c r="Q55" s="138">
        <f t="shared" si="59"/>
        <v>425.29925226507646</v>
      </c>
      <c r="R55" s="138">
        <f t="shared" si="60"/>
        <v>416.73918854247432</v>
      </c>
      <c r="S55" s="138">
        <f t="shared" si="61"/>
        <v>378.4683</v>
      </c>
      <c r="T55" s="138">
        <f t="shared" si="62"/>
        <v>385.66440326028743</v>
      </c>
      <c r="U55" s="138">
        <f t="shared" si="63"/>
        <v>40.85062761946412</v>
      </c>
      <c r="V55" s="138">
        <f t="shared" si="64"/>
        <v>10.592273301379532</v>
      </c>
      <c r="X55" s="227">
        <f t="shared" si="65"/>
        <v>0.44448430365000002</v>
      </c>
      <c r="Y55" s="227">
        <f t="shared" si="66"/>
        <v>0.47</v>
      </c>
      <c r="Z55" s="227">
        <f t="shared" si="67"/>
        <v>0.44448430365000002</v>
      </c>
      <c r="AA55" s="227">
        <f t="shared" si="68"/>
        <v>0.45298953576666667</v>
      </c>
      <c r="AB55" s="227">
        <f t="shared" si="69"/>
        <v>1.4731494156233222E-2</v>
      </c>
      <c r="AC55" s="227">
        <f t="shared" si="70"/>
        <v>3.2520605870731112</v>
      </c>
      <c r="AE55" s="228">
        <f t="shared" si="71"/>
        <v>4.4311325946927136</v>
      </c>
      <c r="AF55" s="228">
        <f t="shared" si="72"/>
        <v>5.2850000000000001</v>
      </c>
      <c r="AG55" s="228">
        <f t="shared" si="73"/>
        <v>4.4311325946927136</v>
      </c>
      <c r="AH55" s="228">
        <f t="shared" si="74"/>
        <v>7.2010269455338509</v>
      </c>
      <c r="AI55" s="228">
        <f t="shared" si="75"/>
        <v>5.2850000000000001</v>
      </c>
      <c r="AJ55" s="228">
        <f t="shared" si="76"/>
        <v>6.1111470175984328</v>
      </c>
      <c r="AK55" s="228">
        <f t="shared" si="77"/>
        <v>5.4700875914035922</v>
      </c>
      <c r="AL55" s="228">
        <f t="shared" si="78"/>
        <v>5.4592181062744709</v>
      </c>
      <c r="AM55" s="228">
        <f t="shared" si="79"/>
        <v>0.96899011166313032</v>
      </c>
      <c r="AN55" s="228">
        <f t="shared" si="80"/>
        <v>17.749613457455307</v>
      </c>
      <c r="AP55" s="229">
        <f t="shared" si="192"/>
        <v>1.417854774535809</v>
      </c>
      <c r="AQ55" s="229">
        <f t="shared" si="193"/>
        <v>1.4</v>
      </c>
      <c r="AR55" s="229">
        <f t="shared" si="194"/>
        <v>1.47</v>
      </c>
      <c r="AS55" s="229">
        <f t="shared" si="195"/>
        <v>1.3752956785469654</v>
      </c>
      <c r="AT55" s="229">
        <f t="shared" si="196"/>
        <v>1.417854774535809</v>
      </c>
      <c r="AU55" s="229">
        <f t="shared" si="197"/>
        <v>0.95066531837834889</v>
      </c>
      <c r="AV55" s="229">
        <f t="shared" si="198"/>
        <v>1.4</v>
      </c>
      <c r="AW55" s="229">
        <f t="shared" si="199"/>
        <v>1.4499999998023829</v>
      </c>
      <c r="AX55" s="229">
        <f t="shared" si="200"/>
        <v>1.4001883437189131</v>
      </c>
      <c r="AY55" s="229">
        <f t="shared" si="90"/>
        <v>1.3646509877242476</v>
      </c>
      <c r="AZ55" s="229">
        <f t="shared" si="91"/>
        <v>0.15783836945895005</v>
      </c>
      <c r="BA55" s="229">
        <f t="shared" si="92"/>
        <v>11.566207834734968</v>
      </c>
      <c r="BC55" s="230">
        <f t="shared" si="93"/>
        <v>9.65</v>
      </c>
      <c r="BD55" s="230">
        <f t="shared" si="94"/>
        <v>11.73</v>
      </c>
      <c r="BE55" s="230">
        <f t="shared" si="95"/>
        <v>9.65</v>
      </c>
      <c r="BF55" s="230">
        <f t="shared" si="96"/>
        <v>8.9019692307692306</v>
      </c>
      <c r="BG55" s="230">
        <f t="shared" si="97"/>
        <v>9.9829923076923084</v>
      </c>
      <c r="BH55" s="230">
        <f t="shared" si="98"/>
        <v>1.2168832488214729</v>
      </c>
      <c r="BI55" s="230">
        <f t="shared" si="99"/>
        <v>12.189564123812998</v>
      </c>
      <c r="BK55" s="227">
        <f t="shared" si="208"/>
        <v>19.600000000000001</v>
      </c>
      <c r="BL55" s="227">
        <f t="shared" si="209"/>
        <v>31.73</v>
      </c>
      <c r="BM55" s="227">
        <f t="shared" si="210"/>
        <v>40.522058166695039</v>
      </c>
      <c r="BN55" s="227">
        <f t="shared" si="211"/>
        <v>22.871798796496648</v>
      </c>
      <c r="BO55" s="227">
        <f t="shared" si="212"/>
        <v>19.600000000000001</v>
      </c>
      <c r="BP55" s="227">
        <f t="shared" si="213"/>
        <v>29.019878780372153</v>
      </c>
      <c r="BQ55" s="227">
        <f t="shared" si="214"/>
        <v>31.86</v>
      </c>
      <c r="BR55" s="227">
        <f t="shared" si="100"/>
        <v>27.886247963366259</v>
      </c>
      <c r="BS55" s="227">
        <f t="shared" si="101"/>
        <v>7.6809555000174834</v>
      </c>
      <c r="BT55" s="227">
        <f t="shared" si="215"/>
        <v>27.543882956602257</v>
      </c>
      <c r="BV55" s="231">
        <f t="shared" si="102"/>
        <v>0.26</v>
      </c>
      <c r="BW55" s="231">
        <f t="shared" si="103"/>
        <v>0.31251868447586256</v>
      </c>
      <c r="BX55" s="231">
        <f t="shared" si="104"/>
        <v>0.3240343813921302</v>
      </c>
      <c r="BY55" s="231">
        <f t="shared" si="105"/>
        <v>0.26</v>
      </c>
      <c r="BZ55" s="231">
        <f t="shared" si="106"/>
        <v>0.3372816323813087</v>
      </c>
      <c r="CA55" s="231">
        <f t="shared" si="107"/>
        <v>0.31295744655499275</v>
      </c>
      <c r="CB55" s="231">
        <f t="shared" si="108"/>
        <v>0.48</v>
      </c>
      <c r="CC55" s="231">
        <f t="shared" si="109"/>
        <v>0.45317185873225413</v>
      </c>
      <c r="CD55" s="231">
        <f t="shared" si="110"/>
        <v>0.3424955004420685</v>
      </c>
      <c r="CE55" s="231">
        <f t="shared" si="111"/>
        <v>8.1859515834898644E-2</v>
      </c>
      <c r="CF55" s="231">
        <f t="shared" si="216"/>
        <v>23.900902560541752</v>
      </c>
      <c r="CH55" s="232">
        <f t="shared" si="112"/>
        <v>1.4773725346997053</v>
      </c>
      <c r="CI55" s="232">
        <f t="shared" si="113"/>
        <v>1.52</v>
      </c>
      <c r="CJ55" s="232">
        <f t="shared" si="114"/>
        <v>2.1</v>
      </c>
      <c r="CK55" s="232">
        <f t="shared" si="115"/>
        <v>1.9835322046536557</v>
      </c>
      <c r="CL55" s="232">
        <f t="shared" si="116"/>
        <v>1.8822887533948285</v>
      </c>
      <c r="CM55" s="232">
        <f t="shared" si="117"/>
        <v>1.5335811466890579</v>
      </c>
      <c r="CN55" s="232">
        <f t="shared" si="118"/>
        <v>1.480266895696341</v>
      </c>
      <c r="CO55" s="232">
        <f t="shared" si="119"/>
        <v>1.8835476302156506</v>
      </c>
      <c r="CP55" s="232">
        <f t="shared" si="120"/>
        <v>1.52</v>
      </c>
      <c r="CQ55" s="232">
        <f t="shared" si="121"/>
        <v>1.4847631925978118</v>
      </c>
      <c r="CR55" s="232">
        <f t="shared" si="122"/>
        <v>1.686535235794705</v>
      </c>
      <c r="CS55" s="232">
        <f t="shared" si="123"/>
        <v>0.24543932898822701</v>
      </c>
      <c r="CT55" s="232">
        <f t="shared" si="217"/>
        <v>14.552872882763971</v>
      </c>
      <c r="CV55" s="229">
        <f t="shared" si="218"/>
        <v>0.83</v>
      </c>
      <c r="CW55" s="229">
        <f t="shared" si="219"/>
        <v>1.19</v>
      </c>
      <c r="CX55" s="229">
        <f t="shared" si="220"/>
        <v>0.76196765647894171</v>
      </c>
      <c r="CY55" s="229">
        <f t="shared" si="221"/>
        <v>0.52022836839359077</v>
      </c>
      <c r="CZ55" s="229">
        <f t="shared" si="222"/>
        <v>1.2002389473725146</v>
      </c>
      <c r="DA55" s="229">
        <f t="shared" si="223"/>
        <v>0.83</v>
      </c>
      <c r="DB55" s="229">
        <f t="shared" si="224"/>
        <v>0.54606832745954448</v>
      </c>
      <c r="DC55" s="229">
        <f t="shared" si="225"/>
        <v>0.89</v>
      </c>
      <c r="DD55" s="229">
        <f t="shared" si="226"/>
        <v>0.84606291246307397</v>
      </c>
      <c r="DE55" s="229">
        <f t="shared" si="227"/>
        <v>0.25338192490552974</v>
      </c>
      <c r="DF55" s="229">
        <f t="shared" si="228"/>
        <v>29.948355042283985</v>
      </c>
      <c r="DH55" s="234">
        <f t="shared" si="124"/>
        <v>7.5480000000000005E-2</v>
      </c>
      <c r="DI55" s="234">
        <f t="shared" si="125"/>
        <v>0.10200000000000001</v>
      </c>
      <c r="DJ55" s="234">
        <f t="shared" si="126"/>
        <v>0.11266595029482307</v>
      </c>
      <c r="DK55" s="234">
        <f t="shared" si="229"/>
        <v>9.6715316764941037E-2</v>
      </c>
      <c r="DL55" s="234">
        <f t="shared" si="230"/>
        <v>1.9147966798160228E-2</v>
      </c>
      <c r="DM55" s="234">
        <f t="shared" si="231"/>
        <v>19.798277500034306</v>
      </c>
      <c r="DO55" s="229">
        <f t="shared" si="127"/>
        <v>2.38</v>
      </c>
      <c r="DP55" s="229">
        <f t="shared" si="128"/>
        <v>3.49</v>
      </c>
      <c r="DQ55" s="229">
        <f t="shared" si="129"/>
        <v>3.8006236453188675</v>
      </c>
      <c r="DR55" s="229">
        <f t="shared" si="130"/>
        <v>2.9767084895891025</v>
      </c>
      <c r="DS55" s="229">
        <f t="shared" si="131"/>
        <v>2.6742289757895348</v>
      </c>
      <c r="DT55" s="229">
        <f t="shared" si="132"/>
        <v>2.38</v>
      </c>
      <c r="DU55" s="229">
        <f t="shared" si="133"/>
        <v>2.3051999999999997</v>
      </c>
      <c r="DV55" s="229">
        <f t="shared" si="134"/>
        <v>3.3695653214933974</v>
      </c>
      <c r="DW55" s="229">
        <f t="shared" si="232"/>
        <v>2.9220408040238626</v>
      </c>
      <c r="DX55" s="229">
        <f t="shared" si="233"/>
        <v>0.5765998802175919</v>
      </c>
      <c r="DY55" s="229">
        <f t="shared" si="234"/>
        <v>19.732779892175767</v>
      </c>
      <c r="EA55" s="235">
        <f t="shared" si="135"/>
        <v>0.14000000000000001</v>
      </c>
      <c r="EB55" s="235">
        <f t="shared" si="136"/>
        <v>0.21462940942267153</v>
      </c>
      <c r="EC55" s="235">
        <f t="shared" si="137"/>
        <v>0.14000000000000001</v>
      </c>
      <c r="ED55" s="235">
        <f t="shared" si="138"/>
        <v>0.1686387481860358</v>
      </c>
      <c r="EE55" s="235">
        <f t="shared" si="139"/>
        <v>0.13981480623036399</v>
      </c>
      <c r="EF55" s="235">
        <f t="shared" si="140"/>
        <v>0.16061659276781429</v>
      </c>
      <c r="EG55" s="235">
        <f t="shared" si="141"/>
        <v>3.2651728355489636E-2</v>
      </c>
      <c r="EH55" s="235">
        <f t="shared" si="235"/>
        <v>20.3289883024045</v>
      </c>
      <c r="EJ55" s="229">
        <f t="shared" si="142"/>
        <v>7.5426305676856105</v>
      </c>
      <c r="EK55" s="229">
        <f t="shared" si="143"/>
        <v>16.650079119230426</v>
      </c>
      <c r="EL55" s="229">
        <f t="shared" si="144"/>
        <v>6.91</v>
      </c>
      <c r="EM55" s="229">
        <f t="shared" si="145"/>
        <v>14.4</v>
      </c>
      <c r="EN55" s="229">
        <f t="shared" si="146"/>
        <v>21.628505832054106</v>
      </c>
      <c r="EO55" s="229">
        <f t="shared" si="236"/>
        <v>21.751273258540838</v>
      </c>
      <c r="EP55" s="229">
        <f t="shared" si="147"/>
        <v>20.917695725338792</v>
      </c>
      <c r="EQ55" s="229">
        <f t="shared" si="148"/>
        <v>15.685740643264252</v>
      </c>
      <c r="ER55" s="229">
        <f t="shared" si="149"/>
        <v>6.3951471342954438</v>
      </c>
      <c r="ES55" s="229">
        <f t="shared" si="237"/>
        <v>40.770450562317812</v>
      </c>
      <c r="EU55" s="238">
        <f t="shared" si="191"/>
        <v>1.6060833160574838E-2</v>
      </c>
      <c r="EV55" s="238">
        <f t="shared" si="151"/>
        <v>1.6060833160574838E-2</v>
      </c>
      <c r="EW55" s="238" t="e">
        <f t="shared" si="152"/>
        <v>#DIV/0!</v>
      </c>
      <c r="EX55" s="238" t="e">
        <f t="shared" si="238"/>
        <v>#DIV/0!</v>
      </c>
      <c r="EZ55" s="240">
        <f t="shared" si="153"/>
        <v>2.7464024704582975E-2</v>
      </c>
      <c r="FA55" s="240">
        <f t="shared" si="154"/>
        <v>2.7464024704582975E-2</v>
      </c>
      <c r="FB55" s="240" t="e">
        <f t="shared" si="155"/>
        <v>#DIV/0!</v>
      </c>
      <c r="FC55" s="240" t="e">
        <f t="shared" si="239"/>
        <v>#DIV/0!</v>
      </c>
      <c r="FE55" s="236">
        <f t="shared" si="156"/>
        <v>0.9</v>
      </c>
      <c r="FF55" s="236">
        <f t="shared" si="157"/>
        <v>1.2</v>
      </c>
      <c r="FG55" s="236">
        <f t="shared" si="158"/>
        <v>1.3284860430872836</v>
      </c>
      <c r="FH55" s="236">
        <f t="shared" si="159"/>
        <v>1.3250187357474243</v>
      </c>
      <c r="FI55" s="236">
        <f t="shared" si="160"/>
        <v>0.9</v>
      </c>
      <c r="FJ55" s="236">
        <f t="shared" si="161"/>
        <v>1.1242583212402388</v>
      </c>
      <c r="FK55" s="236">
        <f t="shared" si="240"/>
        <v>1.1296271833458247</v>
      </c>
      <c r="FL55" s="236">
        <f t="shared" si="241"/>
        <v>0.19399028301149748</v>
      </c>
      <c r="FM55" s="236">
        <f t="shared" si="242"/>
        <v>17.172947488473213</v>
      </c>
      <c r="FO55" s="227">
        <f t="shared" si="162"/>
        <v>0.3</v>
      </c>
      <c r="FP55" s="227">
        <f t="shared" si="163"/>
        <v>0.32</v>
      </c>
      <c r="FQ55" s="227">
        <f t="shared" si="164"/>
        <v>0.353473358522362</v>
      </c>
      <c r="FR55" s="227">
        <f t="shared" si="165"/>
        <v>0.3</v>
      </c>
      <c r="FS55" s="227">
        <f t="shared" si="166"/>
        <v>0.36136874611293385</v>
      </c>
      <c r="FT55" s="227">
        <f t="shared" si="243"/>
        <v>0.32696842092705919</v>
      </c>
      <c r="FU55" s="227">
        <f t="shared" si="244"/>
        <v>2.9107749975906694E-2</v>
      </c>
      <c r="FV55" s="227">
        <f t="shared" si="245"/>
        <v>8.9023123069123891</v>
      </c>
      <c r="FX55" s="230">
        <f t="shared" si="167"/>
        <v>2.94</v>
      </c>
      <c r="FY55" s="230">
        <f t="shared" si="168"/>
        <v>1.6863874818603581</v>
      </c>
      <c r="FZ55" s="230">
        <f t="shared" si="169"/>
        <v>2.94</v>
      </c>
      <c r="GA55" s="230">
        <f t="shared" si="170"/>
        <v>4.005597555974612</v>
      </c>
      <c r="GB55" s="230">
        <f t="shared" si="246"/>
        <v>2.8929962594587426</v>
      </c>
      <c r="GC55" s="230">
        <f t="shared" si="247"/>
        <v>0.94836791215856697</v>
      </c>
      <c r="GD55" s="230">
        <f t="shared" si="248"/>
        <v>32.781511868805502</v>
      </c>
      <c r="GF55" s="231">
        <f t="shared" si="171"/>
        <v>0.06</v>
      </c>
      <c r="GG55" s="231">
        <f t="shared" si="172"/>
        <v>0.05</v>
      </c>
      <c r="GH55" s="231">
        <f t="shared" si="173"/>
        <v>0.06</v>
      </c>
      <c r="GI55" s="231">
        <f t="shared" si="174"/>
        <v>6.4243332642299353E-2</v>
      </c>
      <c r="GJ55" s="245">
        <f t="shared" si="187"/>
        <v>5.8560833160574838E-2</v>
      </c>
      <c r="GK55" s="231">
        <f t="shared" si="188"/>
        <v>6.0476184609149827E-3</v>
      </c>
      <c r="GL55" s="231">
        <f t="shared" si="249"/>
        <v>10.327070389064149</v>
      </c>
      <c r="GN55" s="246">
        <f t="shared" si="175"/>
        <v>0.18</v>
      </c>
      <c r="GO55" s="246">
        <f t="shared" si="176"/>
        <v>0.18</v>
      </c>
      <c r="GP55" s="246">
        <f t="shared" si="177"/>
        <v>0.1686387481860358</v>
      </c>
      <c r="GQ55" s="247">
        <f t="shared" si="189"/>
        <v>0.17621291606201192</v>
      </c>
      <c r="GR55" s="246">
        <f t="shared" si="190"/>
        <v>6.5594217931233493E-3</v>
      </c>
      <c r="GS55" s="246">
        <f t="shared" si="250"/>
        <v>3.7224409763555539</v>
      </c>
      <c r="GU55" s="249">
        <f t="shared" si="178"/>
        <v>2.2003341429987527E-2</v>
      </c>
      <c r="GV55" s="249">
        <f t="shared" si="179"/>
        <v>2.2003341429987527E-2</v>
      </c>
      <c r="GW55" s="249" t="e">
        <f t="shared" si="180"/>
        <v>#DIV/0!</v>
      </c>
      <c r="GX55" s="249" t="e">
        <f t="shared" si="251"/>
        <v>#DIV/0!</v>
      </c>
      <c r="GZ55" s="240">
        <f t="shared" si="181"/>
        <v>2.4091249740862259E-2</v>
      </c>
      <c r="HA55" s="240">
        <f t="shared" si="182"/>
        <v>2.4091249740862259E-2</v>
      </c>
      <c r="HB55" s="240" t="e">
        <f t="shared" si="183"/>
        <v>#DIV/0!</v>
      </c>
      <c r="HC55" s="240" t="e">
        <f t="shared" si="252"/>
        <v>#DIV/0!</v>
      </c>
      <c r="HE55" s="234">
        <f t="shared" si="184"/>
        <v>9.513175730542027E-2</v>
      </c>
      <c r="HF55" s="251">
        <f t="shared" si="185"/>
        <v>9.513175730542027E-2</v>
      </c>
      <c r="HG55" s="234" t="e">
        <f t="shared" si="186"/>
        <v>#DIV/0!</v>
      </c>
      <c r="HH55" s="234" t="e">
        <f t="shared" si="253"/>
        <v>#DIV/0!</v>
      </c>
    </row>
    <row r="56" spans="2:216" ht="15.6" x14ac:dyDescent="0.25">
      <c r="B56">
        <v>52</v>
      </c>
      <c r="C56" s="124">
        <f t="shared" si="52"/>
        <v>80.323611641842945</v>
      </c>
      <c r="D56" s="124">
        <f t="shared" si="53"/>
        <v>174.15675552368072</v>
      </c>
      <c r="E56" s="29">
        <f t="shared" si="201"/>
        <v>2.0095976209423072</v>
      </c>
      <c r="F56" s="29">
        <f t="shared" si="202"/>
        <v>1.9525691860170056</v>
      </c>
      <c r="G56" s="29">
        <f t="shared" si="203"/>
        <v>1.9840567784138132</v>
      </c>
      <c r="H56" s="29">
        <f t="shared" si="204"/>
        <v>2.0095976209423072</v>
      </c>
      <c r="I56" s="29">
        <f t="shared" si="205"/>
        <v>1.9712446431610096</v>
      </c>
      <c r="J56" s="125">
        <f t="shared" si="206"/>
        <v>1.9854131698952884</v>
      </c>
      <c r="K56" s="126">
        <f t="shared" si="207"/>
        <v>2.4754239887134447E-2</v>
      </c>
      <c r="L56" s="126">
        <f t="shared" si="55"/>
        <v>1.246805464095919</v>
      </c>
      <c r="N56" s="138">
        <f t="shared" si="56"/>
        <v>416.9367656780106</v>
      </c>
      <c r="O56" s="138">
        <f t="shared" si="57"/>
        <v>325.79239999999999</v>
      </c>
      <c r="P56" s="138">
        <f t="shared" si="58"/>
        <v>349.55059587645235</v>
      </c>
      <c r="Q56" s="138">
        <f t="shared" si="59"/>
        <v>425.37761295333257</v>
      </c>
      <c r="R56" s="138">
        <f t="shared" si="60"/>
        <v>416.9367656780106</v>
      </c>
      <c r="S56" s="138">
        <f t="shared" si="61"/>
        <v>376.57920000000001</v>
      </c>
      <c r="T56" s="138">
        <f t="shared" si="62"/>
        <v>385.19555669763434</v>
      </c>
      <c r="U56" s="138">
        <f t="shared" si="63"/>
        <v>41.238686206852179</v>
      </c>
      <c r="V56" s="138">
        <f t="shared" si="64"/>
        <v>10.705909112867356</v>
      </c>
      <c r="X56" s="227">
        <f t="shared" si="65"/>
        <v>0.4438603472</v>
      </c>
      <c r="Y56" s="227">
        <f t="shared" si="66"/>
        <v>0.47</v>
      </c>
      <c r="Z56" s="227">
        <f t="shared" si="67"/>
        <v>0.4438603472</v>
      </c>
      <c r="AA56" s="227">
        <f t="shared" si="68"/>
        <v>0.45257356479999999</v>
      </c>
      <c r="AB56" s="227">
        <f t="shared" si="69"/>
        <v>1.5091735580603336E-2</v>
      </c>
      <c r="AC56" s="227">
        <f t="shared" si="70"/>
        <v>3.3346480560066811</v>
      </c>
      <c r="AE56" s="228">
        <f t="shared" si="71"/>
        <v>4.4336709204176961</v>
      </c>
      <c r="AF56" s="228">
        <f t="shared" si="72"/>
        <v>5.2850000000000001</v>
      </c>
      <c r="AG56" s="228">
        <f t="shared" si="73"/>
        <v>4.4336709204176961</v>
      </c>
      <c r="AH56" s="228">
        <f t="shared" si="74"/>
        <v>7.2027701442957817</v>
      </c>
      <c r="AI56" s="228">
        <f t="shared" si="75"/>
        <v>5.2850000000000001</v>
      </c>
      <c r="AJ56" s="228">
        <f t="shared" si="76"/>
        <v>6.1126268459440869</v>
      </c>
      <c r="AK56" s="228">
        <f t="shared" si="77"/>
        <v>5.4730432601427452</v>
      </c>
      <c r="AL56" s="228">
        <f t="shared" si="78"/>
        <v>5.4608260130311441</v>
      </c>
      <c r="AM56" s="228">
        <f t="shared" si="79"/>
        <v>0.96878684322547126</v>
      </c>
      <c r="AN56" s="228">
        <f t="shared" si="80"/>
        <v>17.740664890506668</v>
      </c>
      <c r="AP56" s="229">
        <f t="shared" si="192"/>
        <v>1.4183656870187615</v>
      </c>
      <c r="AQ56" s="229">
        <f t="shared" si="193"/>
        <v>1.4</v>
      </c>
      <c r="AR56" s="229">
        <f t="shared" si="194"/>
        <v>1.47</v>
      </c>
      <c r="AS56" s="229">
        <f t="shared" si="195"/>
        <v>1.374712668631876</v>
      </c>
      <c r="AT56" s="229">
        <f t="shared" si="196"/>
        <v>1.4183656870187615</v>
      </c>
      <c r="AU56" s="229">
        <f t="shared" si="197"/>
        <v>0.96913901520436185</v>
      </c>
      <c r="AV56" s="229">
        <f t="shared" si="198"/>
        <v>1.4</v>
      </c>
      <c r="AW56" s="229">
        <f t="shared" si="199"/>
        <v>1.4499999998727273</v>
      </c>
      <c r="AX56" s="229">
        <f t="shared" si="200"/>
        <v>1.3979640576997969</v>
      </c>
      <c r="AY56" s="229">
        <f t="shared" si="90"/>
        <v>1.3665052350495872</v>
      </c>
      <c r="AZ56" s="229">
        <f t="shared" si="91"/>
        <v>0.1517655617237911</v>
      </c>
      <c r="BA56" s="229">
        <f t="shared" si="92"/>
        <v>11.106109060627483</v>
      </c>
      <c r="BC56" s="230">
        <f t="shared" si="93"/>
        <v>9.65</v>
      </c>
      <c r="BD56" s="230">
        <f t="shared" si="94"/>
        <v>11.73</v>
      </c>
      <c r="BE56" s="230">
        <f t="shared" si="95"/>
        <v>9.65</v>
      </c>
      <c r="BF56" s="230">
        <f t="shared" si="96"/>
        <v>8.8961230769230752</v>
      </c>
      <c r="BG56" s="230">
        <f t="shared" si="97"/>
        <v>9.9815307692307691</v>
      </c>
      <c r="BH56" s="230">
        <f t="shared" si="98"/>
        <v>1.2186166763125197</v>
      </c>
      <c r="BI56" s="230">
        <f t="shared" si="99"/>
        <v>12.208715321191491</v>
      </c>
      <c r="BK56" s="227">
        <f t="shared" si="208"/>
        <v>19.600000000000001</v>
      </c>
      <c r="BL56" s="227">
        <f t="shared" si="209"/>
        <v>31.73</v>
      </c>
      <c r="BM56" s="227">
        <f t="shared" si="210"/>
        <v>40.537779020706694</v>
      </c>
      <c r="BN56" s="227">
        <f t="shared" si="211"/>
        <v>22.873577815069307</v>
      </c>
      <c r="BO56" s="227">
        <f t="shared" si="212"/>
        <v>19.600000000000001</v>
      </c>
      <c r="BP56" s="227">
        <f t="shared" si="213"/>
        <v>28.808578290641975</v>
      </c>
      <c r="BQ56" s="227">
        <f t="shared" si="214"/>
        <v>31.86</v>
      </c>
      <c r="BR56" s="227">
        <f t="shared" si="100"/>
        <v>27.858562160916854</v>
      </c>
      <c r="BS56" s="227">
        <f t="shared" si="101"/>
        <v>7.6803035248837217</v>
      </c>
      <c r="BT56" s="227">
        <f t="shared" si="215"/>
        <v>27.56891572695206</v>
      </c>
      <c r="BV56" s="231">
        <f t="shared" si="102"/>
        <v>0.26</v>
      </c>
      <c r="BW56" s="231">
        <f t="shared" si="103"/>
        <v>0.31209056435809218</v>
      </c>
      <c r="BX56" s="231">
        <f t="shared" si="104"/>
        <v>0.32409189969709329</v>
      </c>
      <c r="BY56" s="231">
        <f t="shared" si="105"/>
        <v>0.26</v>
      </c>
      <c r="BZ56" s="231">
        <f t="shared" si="106"/>
        <v>0.33736249557136205</v>
      </c>
      <c r="CA56" s="231">
        <f t="shared" si="107"/>
        <v>0.31321112298214648</v>
      </c>
      <c r="CB56" s="231">
        <f t="shared" si="108"/>
        <v>0.48</v>
      </c>
      <c r="CC56" s="231">
        <f t="shared" si="109"/>
        <v>0.45366532193354958</v>
      </c>
      <c r="CD56" s="231">
        <f t="shared" si="110"/>
        <v>0.34255267556778046</v>
      </c>
      <c r="CE56" s="231">
        <f t="shared" si="111"/>
        <v>8.1961908229553779E-2</v>
      </c>
      <c r="CF56" s="231">
        <f t="shared" si="216"/>
        <v>23.926804277240592</v>
      </c>
      <c r="CH56" s="232">
        <f t="shared" si="112"/>
        <v>1.4782079227201605</v>
      </c>
      <c r="CI56" s="232">
        <f t="shared" si="113"/>
        <v>1.52</v>
      </c>
      <c r="CJ56" s="232">
        <f t="shared" si="114"/>
        <v>2.1</v>
      </c>
      <c r="CK56" s="232">
        <f t="shared" si="115"/>
        <v>1.9840087384310627</v>
      </c>
      <c r="CL56" s="232">
        <f t="shared" si="116"/>
        <v>1.8783304727926864</v>
      </c>
      <c r="CM56" s="232">
        <f t="shared" si="117"/>
        <v>1.533870799939423</v>
      </c>
      <c r="CN56" s="232">
        <f t="shared" si="118"/>
        <v>1.4811039203483476</v>
      </c>
      <c r="CO56" s="232">
        <f t="shared" si="119"/>
        <v>1.8839811998705707</v>
      </c>
      <c r="CP56" s="232">
        <f t="shared" si="120"/>
        <v>1.52</v>
      </c>
      <c r="CQ56" s="232">
        <f t="shared" si="121"/>
        <v>1.4856099678366819</v>
      </c>
      <c r="CR56" s="232">
        <f t="shared" si="122"/>
        <v>1.6865113021938931</v>
      </c>
      <c r="CS56" s="232">
        <f t="shared" si="123"/>
        <v>0.24494025790592022</v>
      </c>
      <c r="CT56" s="232">
        <f t="shared" si="217"/>
        <v>14.523487484921709</v>
      </c>
      <c r="CV56" s="229">
        <f t="shared" si="218"/>
        <v>0.83</v>
      </c>
      <c r="CW56" s="229">
        <f t="shared" si="219"/>
        <v>1.19</v>
      </c>
      <c r="CX56" s="229">
        <f t="shared" si="220"/>
        <v>0.76387677902010576</v>
      </c>
      <c r="CY56" s="229">
        <f t="shared" si="221"/>
        <v>0.52073722177895598</v>
      </c>
      <c r="CZ56" s="229">
        <f t="shared" si="222"/>
        <v>1.2004585188211518</v>
      </c>
      <c r="DA56" s="229">
        <f t="shared" si="223"/>
        <v>0.83</v>
      </c>
      <c r="DB56" s="229">
        <f t="shared" si="224"/>
        <v>0.54620055916453203</v>
      </c>
      <c r="DC56" s="229">
        <f t="shared" si="225"/>
        <v>0.89</v>
      </c>
      <c r="DD56" s="229">
        <f t="shared" si="226"/>
        <v>0.84640913484809321</v>
      </c>
      <c r="DE56" s="229">
        <f t="shared" si="227"/>
        <v>0.25322020498252301</v>
      </c>
      <c r="DF56" s="229">
        <f t="shared" si="228"/>
        <v>29.916998122659557</v>
      </c>
      <c r="DH56" s="234">
        <f t="shared" si="124"/>
        <v>7.6960000000000001E-2</v>
      </c>
      <c r="DI56" s="234">
        <f t="shared" si="125"/>
        <v>0.10400000000000001</v>
      </c>
      <c r="DJ56" s="234">
        <f t="shared" si="126"/>
        <v>0.11276058416629556</v>
      </c>
      <c r="DK56" s="234">
        <f t="shared" si="229"/>
        <v>9.7906861388765185E-2</v>
      </c>
      <c r="DL56" s="234">
        <f t="shared" si="230"/>
        <v>1.8661865133576497E-2</v>
      </c>
      <c r="DM56" s="234">
        <f t="shared" si="231"/>
        <v>19.060834826963362</v>
      </c>
      <c r="DO56" s="229">
        <f t="shared" si="127"/>
        <v>2.38</v>
      </c>
      <c r="DP56" s="229">
        <f t="shared" si="128"/>
        <v>3.49</v>
      </c>
      <c r="DQ56" s="229">
        <f t="shared" si="129"/>
        <v>3.8024292743771664</v>
      </c>
      <c r="DR56" s="229">
        <f t="shared" si="130"/>
        <v>2.9781197548429321</v>
      </c>
      <c r="DS56" s="229">
        <f t="shared" si="131"/>
        <v>2.6747452716295328</v>
      </c>
      <c r="DT56" s="229">
        <f t="shared" si="132"/>
        <v>2.38</v>
      </c>
      <c r="DU56" s="229">
        <f t="shared" si="133"/>
        <v>2.3504</v>
      </c>
      <c r="DV56" s="229">
        <f t="shared" si="134"/>
        <v>3.3747685178519595</v>
      </c>
      <c r="DW56" s="229">
        <f t="shared" si="232"/>
        <v>2.9288078523376986</v>
      </c>
      <c r="DX56" s="229">
        <f t="shared" si="233"/>
        <v>0.57083236852559094</v>
      </c>
      <c r="DY56" s="229">
        <f t="shared" si="234"/>
        <v>19.490263523773582</v>
      </c>
      <c r="EA56" s="235">
        <f t="shared" si="135"/>
        <v>0.14000000000000001</v>
      </c>
      <c r="EB56" s="235">
        <f t="shared" si="136"/>
        <v>0.2146726823119039</v>
      </c>
      <c r="EC56" s="235">
        <f t="shared" si="137"/>
        <v>0.14000000000000001</v>
      </c>
      <c r="ED56" s="235">
        <f t="shared" si="138"/>
        <v>0.16867958444787018</v>
      </c>
      <c r="EE56" s="235">
        <f t="shared" si="139"/>
        <v>0.13992270590307943</v>
      </c>
      <c r="EF56" s="235">
        <f t="shared" si="140"/>
        <v>0.16065499453257071</v>
      </c>
      <c r="EG56" s="235">
        <f t="shared" si="141"/>
        <v>3.2654976750993901E-2</v>
      </c>
      <c r="EH56" s="235">
        <f t="shared" si="235"/>
        <v>20.326150983356779</v>
      </c>
      <c r="EJ56" s="229">
        <f t="shared" si="142"/>
        <v>7.5426305676856105</v>
      </c>
      <c r="EK56" s="229">
        <f t="shared" si="143"/>
        <v>16.674258295316427</v>
      </c>
      <c r="EL56" s="229">
        <f t="shared" si="144"/>
        <v>6.91</v>
      </c>
      <c r="EM56" s="229">
        <f t="shared" si="145"/>
        <v>14.4</v>
      </c>
      <c r="EN56" s="229">
        <f t="shared" si="146"/>
        <v>21.733877541572031</v>
      </c>
      <c r="EO56" s="229">
        <f t="shared" si="236"/>
        <v>21.820839792209213</v>
      </c>
      <c r="EP56" s="229">
        <f t="shared" si="147"/>
        <v>20.93129842649428</v>
      </c>
      <c r="EQ56" s="229">
        <f t="shared" si="148"/>
        <v>15.716129231896796</v>
      </c>
      <c r="ER56" s="229">
        <f t="shared" si="149"/>
        <v>6.4249899531960288</v>
      </c>
      <c r="ES56" s="229">
        <f t="shared" si="237"/>
        <v>40.881503698481552</v>
      </c>
      <c r="EU56" s="238">
        <f t="shared" si="191"/>
        <v>1.6064722328368589E-2</v>
      </c>
      <c r="EV56" s="238">
        <f t="shared" si="151"/>
        <v>1.6064722328368589E-2</v>
      </c>
      <c r="EW56" s="238" t="e">
        <f t="shared" si="152"/>
        <v>#DIV/0!</v>
      </c>
      <c r="EX56" s="238" t="e">
        <f t="shared" si="238"/>
        <v>#DIV/0!</v>
      </c>
      <c r="EZ56" s="240">
        <f t="shared" si="153"/>
        <v>2.7470675181510289E-2</v>
      </c>
      <c r="FA56" s="240">
        <f t="shared" si="154"/>
        <v>2.7470675181510289E-2</v>
      </c>
      <c r="FB56" s="240" t="e">
        <f t="shared" si="155"/>
        <v>#DIV/0!</v>
      </c>
      <c r="FC56" s="240" t="e">
        <f t="shared" si="239"/>
        <v>#DIV/0!</v>
      </c>
      <c r="FE56" s="236">
        <f t="shared" si="156"/>
        <v>0.9</v>
      </c>
      <c r="FF56" s="236">
        <f t="shared" si="157"/>
        <v>1.2</v>
      </c>
      <c r="FG56" s="236">
        <f t="shared" si="158"/>
        <v>1.32814988528413</v>
      </c>
      <c r="FH56" s="236">
        <f t="shared" si="159"/>
        <v>1.3253395920904087</v>
      </c>
      <c r="FI56" s="236">
        <f t="shared" si="160"/>
        <v>0.9</v>
      </c>
      <c r="FJ56" s="236">
        <f t="shared" si="161"/>
        <v>1.1245305629858013</v>
      </c>
      <c r="FK56" s="236">
        <f t="shared" si="240"/>
        <v>1.1296700067267234</v>
      </c>
      <c r="FL56" s="236">
        <f t="shared" si="241"/>
        <v>0.19398463580606184</v>
      </c>
      <c r="FM56" s="236">
        <f t="shared" si="242"/>
        <v>17.171796599977213</v>
      </c>
      <c r="FO56" s="227">
        <f t="shared" si="162"/>
        <v>0.3</v>
      </c>
      <c r="FP56" s="227">
        <f t="shared" si="163"/>
        <v>0.32</v>
      </c>
      <c r="FQ56" s="227">
        <f t="shared" si="164"/>
        <v>0.35375788571049077</v>
      </c>
      <c r="FR56" s="227">
        <f t="shared" si="165"/>
        <v>0.3</v>
      </c>
      <c r="FS56" s="227">
        <f t="shared" si="166"/>
        <v>0.36145625238829321</v>
      </c>
      <c r="FT56" s="227">
        <f t="shared" si="243"/>
        <v>0.32704282761975678</v>
      </c>
      <c r="FU56" s="227">
        <f t="shared" si="244"/>
        <v>2.919849570318811E-2</v>
      </c>
      <c r="FV56" s="227">
        <f t="shared" si="245"/>
        <v>8.9280342625756521</v>
      </c>
      <c r="FX56" s="230">
        <f t="shared" si="167"/>
        <v>2.94</v>
      </c>
      <c r="FY56" s="230">
        <f t="shared" si="168"/>
        <v>1.6867958444787019</v>
      </c>
      <c r="FZ56" s="230">
        <f t="shared" si="169"/>
        <v>2.94</v>
      </c>
      <c r="GA56" s="230">
        <f t="shared" si="170"/>
        <v>4.0075860797231719</v>
      </c>
      <c r="GB56" s="230">
        <f t="shared" si="246"/>
        <v>2.8935954810504683</v>
      </c>
      <c r="GC56" s="230">
        <f t="shared" si="247"/>
        <v>0.9489726331703483</v>
      </c>
      <c r="GD56" s="230">
        <f t="shared" si="248"/>
        <v>32.795621896182972</v>
      </c>
      <c r="GF56" s="231">
        <f t="shared" si="171"/>
        <v>0.06</v>
      </c>
      <c r="GG56" s="231">
        <f t="shared" si="172"/>
        <v>0.05</v>
      </c>
      <c r="GH56" s="231">
        <f t="shared" si="173"/>
        <v>0.06</v>
      </c>
      <c r="GI56" s="231">
        <f t="shared" si="174"/>
        <v>6.4258889313474357E-2</v>
      </c>
      <c r="GJ56" s="245">
        <f t="shared" si="187"/>
        <v>5.8564722328368582E-2</v>
      </c>
      <c r="GK56" s="231">
        <f t="shared" si="188"/>
        <v>6.0524939819794196E-3</v>
      </c>
      <c r="GL56" s="231">
        <f t="shared" si="249"/>
        <v>10.334709602213223</v>
      </c>
      <c r="GN56" s="246">
        <f t="shared" si="175"/>
        <v>0.18</v>
      </c>
      <c r="GO56" s="246">
        <f t="shared" si="176"/>
        <v>0.18</v>
      </c>
      <c r="GP56" s="246">
        <f t="shared" si="177"/>
        <v>0.16867958444787018</v>
      </c>
      <c r="GQ56" s="247">
        <f t="shared" si="189"/>
        <v>0.17622652814929007</v>
      </c>
      <c r="GR56" s="246">
        <f t="shared" si="190"/>
        <v>6.5358449663605739E-3</v>
      </c>
      <c r="GS56" s="246">
        <f t="shared" si="250"/>
        <v>3.7087747429398035</v>
      </c>
      <c r="GU56" s="249">
        <f t="shared" si="178"/>
        <v>2.2008669589864967E-2</v>
      </c>
      <c r="GV56" s="249">
        <f t="shared" si="179"/>
        <v>2.2008669589864967E-2</v>
      </c>
      <c r="GW56" s="249" t="e">
        <f t="shared" si="180"/>
        <v>#DIV/0!</v>
      </c>
      <c r="GX56" s="249" t="e">
        <f t="shared" si="251"/>
        <v>#DIV/0!</v>
      </c>
      <c r="GZ56" s="240">
        <f t="shared" si="181"/>
        <v>2.4097083492552886E-2</v>
      </c>
      <c r="HA56" s="240">
        <f t="shared" si="182"/>
        <v>2.4097083492552886E-2</v>
      </c>
      <c r="HB56" s="240" t="e">
        <f t="shared" si="183"/>
        <v>#DIV/0!</v>
      </c>
      <c r="HC56" s="240" t="e">
        <f t="shared" si="252"/>
        <v>#DIV/0!</v>
      </c>
      <c r="HE56" s="234">
        <f t="shared" si="184"/>
        <v>9.5154897853793094E-2</v>
      </c>
      <c r="HF56" s="251">
        <f t="shared" si="185"/>
        <v>9.5154897853793094E-2</v>
      </c>
      <c r="HG56" s="234" t="e">
        <f t="shared" si="186"/>
        <v>#DIV/0!</v>
      </c>
      <c r="HH56" s="234" t="e">
        <f t="shared" si="253"/>
        <v>#DIV/0!</v>
      </c>
    </row>
    <row r="57" spans="2:216" ht="15.6" x14ac:dyDescent="0.25">
      <c r="B57">
        <v>53</v>
      </c>
      <c r="C57" s="124">
        <f t="shared" si="52"/>
        <v>80.345512742465871</v>
      </c>
      <c r="D57" s="124">
        <f t="shared" si="53"/>
        <v>174.28056319190119</v>
      </c>
      <c r="E57" s="29">
        <f t="shared" si="201"/>
        <v>2.0104825115669542</v>
      </c>
      <c r="F57" s="29">
        <f t="shared" si="202"/>
        <v>1.9538018079393586</v>
      </c>
      <c r="G57" s="29">
        <f t="shared" si="203"/>
        <v>1.9849305380502391</v>
      </c>
      <c r="H57" s="29">
        <f t="shared" si="204"/>
        <v>2.0104825115669542</v>
      </c>
      <c r="I57" s="29">
        <f t="shared" si="205"/>
        <v>1.9722140132559303</v>
      </c>
      <c r="J57" s="125">
        <f t="shared" si="206"/>
        <v>1.9863822764758876</v>
      </c>
      <c r="K57" s="126">
        <f t="shared" si="207"/>
        <v>2.4627103057787838E-2</v>
      </c>
      <c r="L57" s="126">
        <f t="shared" si="55"/>
        <v>1.2397967576251068</v>
      </c>
      <c r="N57" s="138">
        <f t="shared" si="56"/>
        <v>417.14027805993629</v>
      </c>
      <c r="O57" s="138">
        <f t="shared" si="57"/>
        <v>325.79239999999999</v>
      </c>
      <c r="P57" s="138">
        <f t="shared" si="58"/>
        <v>348.15916922046489</v>
      </c>
      <c r="Q57" s="138">
        <f t="shared" si="59"/>
        <v>425.46586215221646</v>
      </c>
      <c r="R57" s="138">
        <f t="shared" si="60"/>
        <v>417.14027805993629</v>
      </c>
      <c r="S57" s="138">
        <f t="shared" si="61"/>
        <v>374.58270000000005</v>
      </c>
      <c r="T57" s="138">
        <f t="shared" si="62"/>
        <v>384.71344791542566</v>
      </c>
      <c r="U57" s="138">
        <f t="shared" si="63"/>
        <v>41.651638921549122</v>
      </c>
      <c r="V57" s="138">
        <f t="shared" si="64"/>
        <v>10.826665703327768</v>
      </c>
      <c r="X57" s="227">
        <f t="shared" si="65"/>
        <v>0.44324364954999995</v>
      </c>
      <c r="Y57" s="227">
        <f t="shared" si="66"/>
        <v>0.47</v>
      </c>
      <c r="Z57" s="227">
        <f t="shared" si="67"/>
        <v>0.44324364954999995</v>
      </c>
      <c r="AA57" s="227">
        <f t="shared" si="68"/>
        <v>0.45216243303333331</v>
      </c>
      <c r="AB57" s="227">
        <f t="shared" si="69"/>
        <v>1.5447786134839478E-2</v>
      </c>
      <c r="AC57" s="227">
        <f t="shared" si="70"/>
        <v>3.4164240561092059</v>
      </c>
      <c r="AE57" s="228">
        <f t="shared" si="71"/>
        <v>4.4362857596674061</v>
      </c>
      <c r="AF57" s="228">
        <f t="shared" si="72"/>
        <v>5.2850000000000001</v>
      </c>
      <c r="AG57" s="228">
        <f t="shared" si="73"/>
        <v>4.4362857596674061</v>
      </c>
      <c r="AH57" s="228">
        <f t="shared" si="74"/>
        <v>7.2047334417082398</v>
      </c>
      <c r="AI57" s="228">
        <f t="shared" si="75"/>
        <v>5.2850000000000001</v>
      </c>
      <c r="AJ57" s="228">
        <f t="shared" si="76"/>
        <v>6.1142935197015635</v>
      </c>
      <c r="AK57" s="228">
        <f t="shared" si="77"/>
        <v>5.4760877176082126</v>
      </c>
      <c r="AL57" s="228">
        <f t="shared" si="78"/>
        <v>5.4625265997646908</v>
      </c>
      <c r="AM57" s="228">
        <f t="shared" si="79"/>
        <v>0.96864515458200939</v>
      </c>
      <c r="AN57" s="228">
        <f t="shared" si="80"/>
        <v>17.732548059788591</v>
      </c>
      <c r="AP57" s="229">
        <f t="shared" si="192"/>
        <v>1.4188577815626995</v>
      </c>
      <c r="AQ57" s="229">
        <f t="shared" si="193"/>
        <v>1.4</v>
      </c>
      <c r="AR57" s="229">
        <f t="shared" si="194"/>
        <v>1.47</v>
      </c>
      <c r="AS57" s="229">
        <f t="shared" si="195"/>
        <v>1.3741189293745064</v>
      </c>
      <c r="AT57" s="229">
        <f t="shared" si="196"/>
        <v>1.4188577815626995</v>
      </c>
      <c r="AU57" s="229">
        <f t="shared" si="197"/>
        <v>0.98758502590701502</v>
      </c>
      <c r="AV57" s="229">
        <f t="shared" si="198"/>
        <v>1.4</v>
      </c>
      <c r="AW57" s="229">
        <f t="shared" si="199"/>
        <v>1.4499999999180317</v>
      </c>
      <c r="AX57" s="229">
        <f t="shared" si="200"/>
        <v>1.3957433050969654</v>
      </c>
      <c r="AY57" s="229">
        <f t="shared" si="90"/>
        <v>1.3683514248246573</v>
      </c>
      <c r="AZ57" s="229">
        <f t="shared" si="91"/>
        <v>0.14571830751976961</v>
      </c>
      <c r="BA57" s="229">
        <f t="shared" si="92"/>
        <v>10.649187399972355</v>
      </c>
      <c r="BC57" s="230">
        <f t="shared" si="93"/>
        <v>9.65</v>
      </c>
      <c r="BD57" s="230">
        <f t="shared" si="94"/>
        <v>11.73</v>
      </c>
      <c r="BE57" s="230">
        <f t="shared" si="95"/>
        <v>9.65</v>
      </c>
      <c r="BF57" s="230">
        <f t="shared" si="96"/>
        <v>8.8902769230769234</v>
      </c>
      <c r="BG57" s="230">
        <f t="shared" si="97"/>
        <v>9.9800692307692316</v>
      </c>
      <c r="BH57" s="230">
        <f t="shared" si="98"/>
        <v>1.2203546431546106</v>
      </c>
      <c r="BI57" s="230">
        <f t="shared" si="99"/>
        <v>12.22791761195578</v>
      </c>
      <c r="BK57" s="227">
        <f t="shared" si="208"/>
        <v>19.600000000000001</v>
      </c>
      <c r="BL57" s="227">
        <f t="shared" si="209"/>
        <v>31.73</v>
      </c>
      <c r="BM57" s="227">
        <f t="shared" si="210"/>
        <v>40.554100131435916</v>
      </c>
      <c r="BN57" s="227">
        <f t="shared" si="211"/>
        <v>22.875580256434702</v>
      </c>
      <c r="BO57" s="227">
        <f t="shared" si="212"/>
        <v>19.600000000000001</v>
      </c>
      <c r="BP57" s="227">
        <f t="shared" si="213"/>
        <v>28.589772904667011</v>
      </c>
      <c r="BQ57" s="227">
        <f t="shared" si="214"/>
        <v>31.86</v>
      </c>
      <c r="BR57" s="227">
        <f t="shared" si="100"/>
        <v>27.829921898933947</v>
      </c>
      <c r="BS57" s="227">
        <f t="shared" si="101"/>
        <v>7.6805268262687667</v>
      </c>
      <c r="BT57" s="227">
        <f t="shared" si="215"/>
        <v>27.598089761663964</v>
      </c>
      <c r="BV57" s="231">
        <f t="shared" si="102"/>
        <v>0.26</v>
      </c>
      <c r="BW57" s="231">
        <f t="shared" si="103"/>
        <v>0.31167104011137303</v>
      </c>
      <c r="BX57" s="231">
        <f t="shared" si="104"/>
        <v>0.32415669243572204</v>
      </c>
      <c r="BY57" s="231">
        <f t="shared" si="105"/>
        <v>0.26</v>
      </c>
      <c r="BZ57" s="231">
        <f t="shared" si="106"/>
        <v>0.33745382931224543</v>
      </c>
      <c r="CA57" s="231">
        <f t="shared" si="107"/>
        <v>0.31346876473026486</v>
      </c>
      <c r="CB57" s="231">
        <f t="shared" si="108"/>
        <v>0.48</v>
      </c>
      <c r="CC57" s="231">
        <f t="shared" si="109"/>
        <v>0.45415705309434995</v>
      </c>
      <c r="CD57" s="231">
        <f t="shared" si="110"/>
        <v>0.34261342246049442</v>
      </c>
      <c r="CE57" s="231">
        <f t="shared" si="111"/>
        <v>8.2063671054498855E-2</v>
      </c>
      <c r="CF57" s="231">
        <f t="shared" si="216"/>
        <v>23.952263885388593</v>
      </c>
      <c r="CH57" s="232">
        <f t="shared" si="112"/>
        <v>1.4790684059203736</v>
      </c>
      <c r="CI57" s="232">
        <f t="shared" si="113"/>
        <v>1.52</v>
      </c>
      <c r="CJ57" s="232">
        <f t="shared" si="114"/>
        <v>2.1</v>
      </c>
      <c r="CK57" s="232">
        <f t="shared" si="115"/>
        <v>1.9845466569178691</v>
      </c>
      <c r="CL57" s="232">
        <f t="shared" si="116"/>
        <v>1.8744371562041788</v>
      </c>
      <c r="CM57" s="232">
        <f t="shared" si="117"/>
        <v>1.534197006785295</v>
      </c>
      <c r="CN57" s="232">
        <f t="shared" si="118"/>
        <v>1.4819660893447659</v>
      </c>
      <c r="CO57" s="232">
        <f t="shared" si="119"/>
        <v>1.884469460991425</v>
      </c>
      <c r="CP57" s="232">
        <f t="shared" si="120"/>
        <v>1.52</v>
      </c>
      <c r="CQ57" s="232">
        <f t="shared" si="121"/>
        <v>1.4864758404400231</v>
      </c>
      <c r="CR57" s="232">
        <f t="shared" si="122"/>
        <v>1.6865160616603929</v>
      </c>
      <c r="CS57" s="232">
        <f t="shared" si="123"/>
        <v>0.24445828825467983</v>
      </c>
      <c r="CT57" s="232">
        <f t="shared" si="217"/>
        <v>14.49486867109988</v>
      </c>
      <c r="CV57" s="229">
        <f t="shared" si="218"/>
        <v>0.83</v>
      </c>
      <c r="CW57" s="229">
        <f t="shared" si="219"/>
        <v>1.19</v>
      </c>
      <c r="CX57" s="229">
        <f t="shared" si="220"/>
        <v>0.76583253364636328</v>
      </c>
      <c r="CY57" s="229">
        <f t="shared" si="221"/>
        <v>0.52124417174721882</v>
      </c>
      <c r="CZ57" s="229">
        <f t="shared" si="222"/>
        <v>1.2007057724977019</v>
      </c>
      <c r="DA57" s="229">
        <f t="shared" si="223"/>
        <v>0.83</v>
      </c>
      <c r="DB57" s="229">
        <f t="shared" si="224"/>
        <v>0.54634948664876792</v>
      </c>
      <c r="DC57" s="229">
        <f t="shared" si="225"/>
        <v>0.89</v>
      </c>
      <c r="DD57" s="229">
        <f t="shared" si="226"/>
        <v>0.84676649556750649</v>
      </c>
      <c r="DE57" s="229">
        <f t="shared" si="227"/>
        <v>0.25306099934231557</v>
      </c>
      <c r="DF57" s="229">
        <f t="shared" si="228"/>
        <v>29.885570658143841</v>
      </c>
      <c r="DH57" s="234">
        <f t="shared" si="124"/>
        <v>7.8439999999999996E-2</v>
      </c>
      <c r="DI57" s="234">
        <f t="shared" si="125"/>
        <v>0.106</v>
      </c>
      <c r="DJ57" s="234">
        <f t="shared" si="126"/>
        <v>0.11285676855685277</v>
      </c>
      <c r="DK57" s="234">
        <f t="shared" si="229"/>
        <v>9.9098922852284263E-2</v>
      </c>
      <c r="DL57" s="234">
        <f t="shared" si="230"/>
        <v>1.8216672001851383E-2</v>
      </c>
      <c r="DM57" s="234">
        <f t="shared" si="231"/>
        <v>18.382310803725836</v>
      </c>
      <c r="DO57" s="229">
        <f t="shared" si="127"/>
        <v>2.38</v>
      </c>
      <c r="DP57" s="229">
        <f t="shared" si="128"/>
        <v>3.49</v>
      </c>
      <c r="DQ57" s="229">
        <f t="shared" si="129"/>
        <v>3.8042891467447006</v>
      </c>
      <c r="DR57" s="229">
        <f t="shared" si="130"/>
        <v>2.9795734147138315</v>
      </c>
      <c r="DS57" s="229">
        <f t="shared" si="131"/>
        <v>2.6753268468606914</v>
      </c>
      <c r="DT57" s="229">
        <f t="shared" si="132"/>
        <v>2.38</v>
      </c>
      <c r="DU57" s="229">
        <f t="shared" si="133"/>
        <v>2.3956</v>
      </c>
      <c r="DV57" s="229">
        <f t="shared" si="134"/>
        <v>3.3801364194393857</v>
      </c>
      <c r="DW57" s="229">
        <f t="shared" si="232"/>
        <v>2.9356157284698265</v>
      </c>
      <c r="DX57" s="229">
        <f t="shared" si="233"/>
        <v>0.5654645770574861</v>
      </c>
      <c r="DY57" s="229">
        <f t="shared" si="234"/>
        <v>19.262213769110421</v>
      </c>
      <c r="EA57" s="235">
        <f t="shared" si="135"/>
        <v>0.14000000000000001</v>
      </c>
      <c r="EB57" s="235">
        <f t="shared" si="136"/>
        <v>0.21472141385907048</v>
      </c>
      <c r="EC57" s="235">
        <f t="shared" si="137"/>
        <v>0.14000000000000001</v>
      </c>
      <c r="ED57" s="235">
        <f t="shared" si="138"/>
        <v>0.16872557675917832</v>
      </c>
      <c r="EE57" s="235">
        <f t="shared" si="139"/>
        <v>0.14003237344705677</v>
      </c>
      <c r="EF57" s="235">
        <f t="shared" si="140"/>
        <v>0.16069587281306114</v>
      </c>
      <c r="EG57" s="235">
        <f t="shared" si="141"/>
        <v>3.2660579219504063E-2</v>
      </c>
      <c r="EH57" s="235">
        <f t="shared" si="235"/>
        <v>20.324466738170923</v>
      </c>
      <c r="EJ57" s="229">
        <f t="shared" si="142"/>
        <v>7.5426305676856105</v>
      </c>
      <c r="EK57" s="229">
        <f t="shared" si="143"/>
        <v>16.699274938633074</v>
      </c>
      <c r="EL57" s="229">
        <f t="shared" si="144"/>
        <v>6.91</v>
      </c>
      <c r="EM57" s="229">
        <f t="shared" si="145"/>
        <v>14.4</v>
      </c>
      <c r="EN57" s="229">
        <f t="shared" si="146"/>
        <v>21.83450715149883</v>
      </c>
      <c r="EO57" s="229">
        <f t="shared" si="236"/>
        <v>21.891717295128878</v>
      </c>
      <c r="EP57" s="229">
        <f t="shared" si="147"/>
        <v>20.94662272175308</v>
      </c>
      <c r="EQ57" s="229">
        <f t="shared" si="148"/>
        <v>15.74639323924278</v>
      </c>
      <c r="ER57" s="229">
        <f t="shared" si="149"/>
        <v>6.45467338663377</v>
      </c>
      <c r="ES57" s="229">
        <f t="shared" si="237"/>
        <v>40.99144031629789</v>
      </c>
      <c r="EU57" s="238">
        <f t="shared" si="191"/>
        <v>1.6069102548493176E-2</v>
      </c>
      <c r="EV57" s="238">
        <f t="shared" si="151"/>
        <v>1.6069102548493176E-2</v>
      </c>
      <c r="EW57" s="238" t="e">
        <f t="shared" si="152"/>
        <v>#DIV/0!</v>
      </c>
      <c r="EX57" s="238" t="e">
        <f t="shared" si="238"/>
        <v>#DIV/0!</v>
      </c>
      <c r="EZ57" s="240">
        <f t="shared" si="153"/>
        <v>2.7478165357923329E-2</v>
      </c>
      <c r="FA57" s="240">
        <f t="shared" si="154"/>
        <v>2.7478165357923329E-2</v>
      </c>
      <c r="FB57" s="240" t="e">
        <f t="shared" si="155"/>
        <v>#DIV/0!</v>
      </c>
      <c r="FC57" s="240" t="e">
        <f t="shared" si="239"/>
        <v>#DIV/0!</v>
      </c>
      <c r="FE57" s="236">
        <f t="shared" si="156"/>
        <v>0.9</v>
      </c>
      <c r="FF57" s="236">
        <f t="shared" si="157"/>
        <v>1.2</v>
      </c>
      <c r="FG57" s="236">
        <f t="shared" si="158"/>
        <v>1.3278683402172349</v>
      </c>
      <c r="FH57" s="236">
        <f t="shared" si="159"/>
        <v>1.3257009602506868</v>
      </c>
      <c r="FI57" s="236">
        <f t="shared" si="160"/>
        <v>0.9</v>
      </c>
      <c r="FJ57" s="236">
        <f t="shared" si="161"/>
        <v>1.1248371783945221</v>
      </c>
      <c r="FK57" s="236">
        <f t="shared" si="240"/>
        <v>1.1297344131437406</v>
      </c>
      <c r="FL57" s="236">
        <f t="shared" si="241"/>
        <v>0.19399844195870514</v>
      </c>
      <c r="FM57" s="236">
        <f t="shared" si="242"/>
        <v>17.172039702575827</v>
      </c>
      <c r="FO57" s="227">
        <f t="shared" si="162"/>
        <v>0.3</v>
      </c>
      <c r="FP57" s="227">
        <f t="shared" si="163"/>
        <v>0.32</v>
      </c>
      <c r="FQ57" s="227">
        <f t="shared" si="164"/>
        <v>0.3540477800001785</v>
      </c>
      <c r="FR57" s="227">
        <f t="shared" si="165"/>
        <v>0.3</v>
      </c>
      <c r="FS57" s="227">
        <f t="shared" si="166"/>
        <v>0.36155480734109641</v>
      </c>
      <c r="FT57" s="227">
        <f t="shared" si="243"/>
        <v>0.32712051746825499</v>
      </c>
      <c r="FU57" s="227">
        <f t="shared" si="244"/>
        <v>2.9293960516707088E-2</v>
      </c>
      <c r="FV57" s="227">
        <f t="shared" si="245"/>
        <v>8.9550972661168782</v>
      </c>
      <c r="FX57" s="230">
        <f t="shared" si="167"/>
        <v>2.94</v>
      </c>
      <c r="FY57" s="230">
        <f t="shared" si="168"/>
        <v>1.6872557675917834</v>
      </c>
      <c r="FZ57" s="230">
        <f t="shared" si="169"/>
        <v>2.94</v>
      </c>
      <c r="GA57" s="230">
        <f t="shared" si="170"/>
        <v>4.0095896765452865</v>
      </c>
      <c r="GB57" s="230">
        <f t="shared" si="246"/>
        <v>2.8942113610342677</v>
      </c>
      <c r="GC57" s="230">
        <f t="shared" si="247"/>
        <v>0.94956196746551791</v>
      </c>
      <c r="GD57" s="230">
        <f t="shared" si="248"/>
        <v>32.809005598201537</v>
      </c>
      <c r="GF57" s="231">
        <f t="shared" si="171"/>
        <v>0.06</v>
      </c>
      <c r="GG57" s="231">
        <f t="shared" si="172"/>
        <v>0.05</v>
      </c>
      <c r="GH57" s="231">
        <f t="shared" si="173"/>
        <v>0.06</v>
      </c>
      <c r="GI57" s="231">
        <f t="shared" si="174"/>
        <v>6.4276410193972705E-2</v>
      </c>
      <c r="GJ57" s="245">
        <f t="shared" si="187"/>
        <v>5.8569102548493172E-2</v>
      </c>
      <c r="GK57" s="231">
        <f t="shared" si="188"/>
        <v>6.0579923539128243E-3</v>
      </c>
      <c r="GL57" s="231">
        <f t="shared" si="249"/>
        <v>10.343324535145502</v>
      </c>
      <c r="GN57" s="246">
        <f t="shared" si="175"/>
        <v>0.18</v>
      </c>
      <c r="GO57" s="246">
        <f t="shared" si="176"/>
        <v>0.18</v>
      </c>
      <c r="GP57" s="246">
        <f t="shared" si="177"/>
        <v>0.16872557675917832</v>
      </c>
      <c r="GQ57" s="247">
        <f t="shared" si="189"/>
        <v>0.1762418589197261</v>
      </c>
      <c r="GR57" s="246">
        <f t="shared" si="190"/>
        <v>6.5092912930461667E-3</v>
      </c>
      <c r="GS57" s="246">
        <f t="shared" si="250"/>
        <v>3.6933855174615422</v>
      </c>
      <c r="GU57" s="249">
        <f t="shared" si="178"/>
        <v>2.2014670491435649E-2</v>
      </c>
      <c r="GV57" s="249">
        <f t="shared" si="179"/>
        <v>2.2014670491435649E-2</v>
      </c>
      <c r="GW57" s="249" t="e">
        <f t="shared" si="180"/>
        <v>#DIV/0!</v>
      </c>
      <c r="GX57" s="249" t="e">
        <f t="shared" si="251"/>
        <v>#DIV/0!</v>
      </c>
      <c r="GZ57" s="240">
        <f t="shared" si="181"/>
        <v>2.4103653822739764E-2</v>
      </c>
      <c r="HA57" s="240">
        <f t="shared" si="182"/>
        <v>2.4103653822739764E-2</v>
      </c>
      <c r="HB57" s="240" t="e">
        <f t="shared" si="183"/>
        <v>#DIV/0!</v>
      </c>
      <c r="HC57" s="240" t="e">
        <f t="shared" si="252"/>
        <v>#DIV/0!</v>
      </c>
      <c r="HE57" s="234">
        <f t="shared" si="184"/>
        <v>9.5180960163534375E-2</v>
      </c>
      <c r="HF57" s="251">
        <f t="shared" si="185"/>
        <v>9.5180960163534375E-2</v>
      </c>
      <c r="HG57" s="234" t="e">
        <f t="shared" si="186"/>
        <v>#DIV/0!</v>
      </c>
      <c r="HH57" s="234" t="e">
        <f t="shared" si="253"/>
        <v>#DIV/0!</v>
      </c>
    </row>
    <row r="58" spans="2:216" ht="15.6" x14ac:dyDescent="0.25">
      <c r="B58">
        <v>54</v>
      </c>
      <c r="C58" s="124">
        <f t="shared" si="52"/>
        <v>80.372068792017672</v>
      </c>
      <c r="D58" s="124">
        <f t="shared" si="53"/>
        <v>174.39313785679394</v>
      </c>
      <c r="E58" s="29">
        <f t="shared" si="201"/>
        <v>2.0113734542980435</v>
      </c>
      <c r="F58" s="29">
        <f t="shared" si="202"/>
        <v>1.9549912613046529</v>
      </c>
      <c r="G58" s="29">
        <f t="shared" si="203"/>
        <v>1.9858094408161935</v>
      </c>
      <c r="H58" s="29">
        <f t="shared" si="204"/>
        <v>2.0113734542980435</v>
      </c>
      <c r="I58" s="29">
        <f t="shared" si="205"/>
        <v>1.9731768851751386</v>
      </c>
      <c r="J58" s="125">
        <f t="shared" si="206"/>
        <v>1.9873448991784144</v>
      </c>
      <c r="K58" s="126">
        <f t="shared" si="207"/>
        <v>2.4518314884590518E-2</v>
      </c>
      <c r="L58" s="126">
        <f t="shared" si="55"/>
        <v>1.233722183538781</v>
      </c>
      <c r="N58" s="138">
        <f t="shared" si="56"/>
        <v>417.34242882746702</v>
      </c>
      <c r="O58" s="138">
        <f t="shared" si="57"/>
        <v>325.79239999999999</v>
      </c>
      <c r="P58" s="138">
        <f t="shared" si="58"/>
        <v>346.76635056844532</v>
      </c>
      <c r="Q58" s="138">
        <f t="shared" si="59"/>
        <v>425.57286047957399</v>
      </c>
      <c r="R58" s="138">
        <f t="shared" si="60"/>
        <v>417.34242882746702</v>
      </c>
      <c r="S58" s="138">
        <f t="shared" si="61"/>
        <v>372.47879999999998</v>
      </c>
      <c r="T58" s="138">
        <f t="shared" si="62"/>
        <v>384.21587811715887</v>
      </c>
      <c r="U58" s="138">
        <f t="shared" si="63"/>
        <v>42.091960338541227</v>
      </c>
      <c r="V58" s="138">
        <f t="shared" si="64"/>
        <v>10.95528913193591</v>
      </c>
      <c r="X58" s="227">
        <f t="shared" si="65"/>
        <v>0.44264097959999998</v>
      </c>
      <c r="Y58" s="227">
        <f t="shared" si="66"/>
        <v>0.47</v>
      </c>
      <c r="Z58" s="227">
        <f t="shared" si="67"/>
        <v>0.44264097959999998</v>
      </c>
      <c r="AA58" s="227">
        <f t="shared" si="68"/>
        <v>0.45176065306666663</v>
      </c>
      <c r="AB58" s="227">
        <f t="shared" si="69"/>
        <v>1.5795737792704458E-2</v>
      </c>
      <c r="AC58" s="227">
        <f t="shared" si="70"/>
        <v>3.4964837432120213</v>
      </c>
      <c r="AE58" s="228">
        <f t="shared" si="71"/>
        <v>4.4388833671027603</v>
      </c>
      <c r="AF58" s="228">
        <f t="shared" si="72"/>
        <v>5.2850000000000001</v>
      </c>
      <c r="AG58" s="228">
        <f t="shared" si="73"/>
        <v>4.4388833671027603</v>
      </c>
      <c r="AH58" s="228">
        <f t="shared" si="74"/>
        <v>7.207114025881074</v>
      </c>
      <c r="AI58" s="228">
        <f t="shared" si="75"/>
        <v>5.2850000000000001</v>
      </c>
      <c r="AJ58" s="228">
        <f t="shared" si="76"/>
        <v>6.1163144350724954</v>
      </c>
      <c r="AK58" s="228">
        <f t="shared" si="77"/>
        <v>5.4791118059095476</v>
      </c>
      <c r="AL58" s="228">
        <f t="shared" si="78"/>
        <v>5.4643295715812332</v>
      </c>
      <c r="AM58" s="228">
        <f t="shared" si="79"/>
        <v>0.96867593978140343</v>
      </c>
      <c r="AN58" s="228">
        <f t="shared" si="80"/>
        <v>17.727260537491592</v>
      </c>
      <c r="AP58" s="229">
        <f t="shared" si="192"/>
        <v>1.4193320790216368</v>
      </c>
      <c r="AQ58" s="229">
        <f t="shared" si="193"/>
        <v>1.4</v>
      </c>
      <c r="AR58" s="229">
        <f t="shared" si="194"/>
        <v>1.47</v>
      </c>
      <c r="AS58" s="229">
        <f t="shared" si="195"/>
        <v>1.3734130539276388</v>
      </c>
      <c r="AT58" s="229">
        <f t="shared" si="196"/>
        <v>1.4193320790216368</v>
      </c>
      <c r="AU58" s="229">
        <f t="shared" si="197"/>
        <v>1.0059826778954362</v>
      </c>
      <c r="AV58" s="229">
        <f t="shared" si="198"/>
        <v>1.4</v>
      </c>
      <c r="AW58" s="229">
        <f t="shared" si="199"/>
        <v>1.4499999999472095</v>
      </c>
      <c r="AX58" s="229">
        <f t="shared" si="200"/>
        <v>1.3935260802973675</v>
      </c>
      <c r="AY58" s="229">
        <f t="shared" si="90"/>
        <v>1.3701762189012139</v>
      </c>
      <c r="AZ58" s="229">
        <f t="shared" si="91"/>
        <v>0.13970538855851541</v>
      </c>
      <c r="BA58" s="229">
        <f t="shared" si="92"/>
        <v>10.196162116326134</v>
      </c>
      <c r="BC58" s="230">
        <f t="shared" si="93"/>
        <v>9.65</v>
      </c>
      <c r="BD58" s="230">
        <f t="shared" si="94"/>
        <v>11.73</v>
      </c>
      <c r="BE58" s="230">
        <f t="shared" si="95"/>
        <v>9.65</v>
      </c>
      <c r="BF58" s="230">
        <f t="shared" si="96"/>
        <v>8.8844307692307698</v>
      </c>
      <c r="BG58" s="230">
        <f t="shared" si="97"/>
        <v>9.9786076923076923</v>
      </c>
      <c r="BH58" s="230">
        <f t="shared" si="98"/>
        <v>1.2220971299812766</v>
      </c>
      <c r="BI58" s="230">
        <f t="shared" si="99"/>
        <v>12.247170824476513</v>
      </c>
      <c r="BK58" s="227">
        <f t="shared" si="208"/>
        <v>19.600000000000001</v>
      </c>
      <c r="BL58" s="227">
        <f t="shared" si="209"/>
        <v>31.73</v>
      </c>
      <c r="BM58" s="227">
        <f t="shared" si="210"/>
        <v>40.570275897695545</v>
      </c>
      <c r="BN58" s="227">
        <f t="shared" si="211"/>
        <v>22.87800660538073</v>
      </c>
      <c r="BO58" s="227">
        <f t="shared" si="212"/>
        <v>19.600000000000001</v>
      </c>
      <c r="BP58" s="227">
        <f t="shared" si="213"/>
        <v>28.364238765038415</v>
      </c>
      <c r="BQ58" s="227">
        <f t="shared" si="214"/>
        <v>31.86</v>
      </c>
      <c r="BR58" s="227">
        <f t="shared" si="100"/>
        <v>27.800360181159242</v>
      </c>
      <c r="BS58" s="227">
        <f t="shared" si="101"/>
        <v>7.6815019142938299</v>
      </c>
      <c r="BT58" s="227">
        <f t="shared" si="215"/>
        <v>27.630943859136437</v>
      </c>
      <c r="BV58" s="231">
        <f t="shared" si="102"/>
        <v>0.26</v>
      </c>
      <c r="BW58" s="231">
        <f t="shared" si="103"/>
        <v>0.31126781284085386</v>
      </c>
      <c r="BX58" s="231">
        <f t="shared" si="104"/>
        <v>0.32423527368702526</v>
      </c>
      <c r="BY58" s="231">
        <f t="shared" si="105"/>
        <v>0.26</v>
      </c>
      <c r="BZ58" s="231">
        <f t="shared" si="106"/>
        <v>0.33756484131159481</v>
      </c>
      <c r="CA58" s="231">
        <f t="shared" si="107"/>
        <v>0.31371516784652492</v>
      </c>
      <c r="CB58" s="231">
        <f t="shared" si="108"/>
        <v>0.48</v>
      </c>
      <c r="CC58" s="231">
        <f t="shared" si="109"/>
        <v>0.45460374344432625</v>
      </c>
      <c r="CD58" s="231">
        <f t="shared" si="110"/>
        <v>0.34267335489129064</v>
      </c>
      <c r="CE58" s="231">
        <f t="shared" si="111"/>
        <v>8.2156410909139832E-2</v>
      </c>
      <c r="CF58" s="231">
        <f t="shared" si="216"/>
        <v>23.975138345729579</v>
      </c>
      <c r="CH58" s="232">
        <f t="shared" si="112"/>
        <v>1.4799231319951422</v>
      </c>
      <c r="CI58" s="232">
        <f t="shared" si="113"/>
        <v>1.52</v>
      </c>
      <c r="CJ58" s="232">
        <f t="shared" si="114"/>
        <v>2.1</v>
      </c>
      <c r="CK58" s="232">
        <f t="shared" si="115"/>
        <v>1.9852001477619587</v>
      </c>
      <c r="CL58" s="232">
        <f t="shared" si="116"/>
        <v>1.8706670053748746</v>
      </c>
      <c r="CM58" s="232">
        <f t="shared" si="117"/>
        <v>1.5345925207202964</v>
      </c>
      <c r="CN58" s="232">
        <f t="shared" si="118"/>
        <v>1.4828224899367979</v>
      </c>
      <c r="CO58" s="232">
        <f t="shared" si="119"/>
        <v>1.8850614254472084</v>
      </c>
      <c r="CP58" s="232">
        <f t="shared" si="120"/>
        <v>1.52</v>
      </c>
      <c r="CQ58" s="232">
        <f t="shared" si="121"/>
        <v>1.48731945194743</v>
      </c>
      <c r="CR58" s="232">
        <f t="shared" si="122"/>
        <v>1.6865586173183709</v>
      </c>
      <c r="CS58" s="232">
        <f t="shared" si="123"/>
        <v>0.24401728603190112</v>
      </c>
      <c r="CT58" s="232">
        <f t="shared" si="217"/>
        <v>14.468354881129999</v>
      </c>
      <c r="CV58" s="229">
        <f t="shared" si="218"/>
        <v>0.83</v>
      </c>
      <c r="CW58" s="229">
        <f t="shared" si="219"/>
        <v>1.19</v>
      </c>
      <c r="CX58" s="229">
        <f t="shared" si="220"/>
        <v>0.76785997522672256</v>
      </c>
      <c r="CY58" s="229">
        <f t="shared" si="221"/>
        <v>0.52170458537849818</v>
      </c>
      <c r="CZ58" s="229">
        <f t="shared" si="222"/>
        <v>1.2010055199246774</v>
      </c>
      <c r="DA58" s="229">
        <f t="shared" si="223"/>
        <v>0.83</v>
      </c>
      <c r="DB58" s="229">
        <f t="shared" si="224"/>
        <v>0.54653006778572011</v>
      </c>
      <c r="DC58" s="229">
        <f t="shared" si="225"/>
        <v>0.89</v>
      </c>
      <c r="DD58" s="229">
        <f t="shared" si="226"/>
        <v>0.84713751853945229</v>
      </c>
      <c r="DE58" s="229">
        <f t="shared" si="227"/>
        <v>0.25291392869797069</v>
      </c>
      <c r="DF58" s="229">
        <f t="shared" si="228"/>
        <v>29.855120705079734</v>
      </c>
      <c r="DH58" s="234">
        <f t="shared" si="124"/>
        <v>7.9920000000000005E-2</v>
      </c>
      <c r="DI58" s="234">
        <f t="shared" si="125"/>
        <v>0.108</v>
      </c>
      <c r="DJ58" s="234">
        <f t="shared" si="126"/>
        <v>0.11294894189265849</v>
      </c>
      <c r="DK58" s="234">
        <f t="shared" si="229"/>
        <v>0.10028964729755284</v>
      </c>
      <c r="DL58" s="234">
        <f t="shared" si="230"/>
        <v>1.7813335025599553E-2</v>
      </c>
      <c r="DM58" s="234">
        <f t="shared" si="231"/>
        <v>17.761888196444193</v>
      </c>
      <c r="DO58" s="229">
        <f t="shared" si="127"/>
        <v>2.38</v>
      </c>
      <c r="DP58" s="229">
        <f t="shared" si="128"/>
        <v>3.49</v>
      </c>
      <c r="DQ58" s="229">
        <f t="shared" si="129"/>
        <v>3.8061365774541116</v>
      </c>
      <c r="DR58" s="229">
        <f t="shared" si="130"/>
        <v>2.9810173487676215</v>
      </c>
      <c r="DS58" s="229">
        <f t="shared" si="131"/>
        <v>2.6760321617222882</v>
      </c>
      <c r="DT58" s="229">
        <f t="shared" si="132"/>
        <v>2.38</v>
      </c>
      <c r="DU58" s="229">
        <f t="shared" si="133"/>
        <v>2.4407999999999999</v>
      </c>
      <c r="DV58" s="229">
        <f t="shared" si="134"/>
        <v>3.3854768593399305</v>
      </c>
      <c r="DW58" s="229">
        <f t="shared" si="232"/>
        <v>2.9424328684104943</v>
      </c>
      <c r="DX58" s="229">
        <f t="shared" si="233"/>
        <v>0.56046625166228237</v>
      </c>
      <c r="DY58" s="229">
        <f t="shared" si="234"/>
        <v>19.047715843557949</v>
      </c>
      <c r="EA58" s="235">
        <f t="shared" si="135"/>
        <v>0.14000000000000001</v>
      </c>
      <c r="EB58" s="235">
        <f t="shared" si="136"/>
        <v>0.21478049583966305</v>
      </c>
      <c r="EC58" s="235">
        <f t="shared" si="137"/>
        <v>0.14000000000000001</v>
      </c>
      <c r="ED58" s="235">
        <f t="shared" si="138"/>
        <v>0.16878134446323709</v>
      </c>
      <c r="EE58" s="235">
        <f t="shared" si="139"/>
        <v>0.14013746766556201</v>
      </c>
      <c r="EF58" s="235">
        <f t="shared" si="140"/>
        <v>0.16073986159369244</v>
      </c>
      <c r="EG58" s="235">
        <f t="shared" si="141"/>
        <v>3.2671845486094149E-2</v>
      </c>
      <c r="EH58" s="235">
        <f t="shared" si="235"/>
        <v>20.325913660844051</v>
      </c>
      <c r="EJ58" s="229">
        <f t="shared" si="142"/>
        <v>7.5426305676856105</v>
      </c>
      <c r="EK58" s="229">
        <f t="shared" si="143"/>
        <v>16.726116966593754</v>
      </c>
      <c r="EL58" s="229">
        <f t="shared" si="144"/>
        <v>6.91</v>
      </c>
      <c r="EM58" s="229">
        <f t="shared" si="145"/>
        <v>14.4</v>
      </c>
      <c r="EN58" s="229">
        <f t="shared" si="146"/>
        <v>21.930655240569838</v>
      </c>
      <c r="EO58" s="229">
        <f t="shared" si="236"/>
        <v>21.966292149989123</v>
      </c>
      <c r="EP58" s="229">
        <f t="shared" si="147"/>
        <v>20.965209911408245</v>
      </c>
      <c r="EQ58" s="229">
        <f t="shared" si="148"/>
        <v>15.777272119463797</v>
      </c>
      <c r="ER58" s="229">
        <f t="shared" si="149"/>
        <v>6.4848260406931377</v>
      </c>
      <c r="ES58" s="229">
        <f t="shared" si="237"/>
        <v>41.102327395957531</v>
      </c>
      <c r="EU58" s="238">
        <f t="shared" si="191"/>
        <v>1.6074413758403534E-2</v>
      </c>
      <c r="EV58" s="238">
        <f t="shared" si="151"/>
        <v>1.6074413758403534E-2</v>
      </c>
      <c r="EW58" s="238" t="e">
        <f t="shared" si="152"/>
        <v>#DIV/0!</v>
      </c>
      <c r="EX58" s="238" t="e">
        <f t="shared" si="238"/>
        <v>#DIV/0!</v>
      </c>
      <c r="EZ58" s="240">
        <f t="shared" si="153"/>
        <v>2.7487247526870043E-2</v>
      </c>
      <c r="FA58" s="240">
        <f t="shared" si="154"/>
        <v>2.7487247526870043E-2</v>
      </c>
      <c r="FB58" s="240" t="e">
        <f t="shared" si="155"/>
        <v>#DIV/0!</v>
      </c>
      <c r="FC58" s="240" t="e">
        <f t="shared" si="239"/>
        <v>#DIV/0!</v>
      </c>
      <c r="FE58" s="236">
        <f t="shared" si="156"/>
        <v>0.9</v>
      </c>
      <c r="FF58" s="236">
        <f t="shared" si="157"/>
        <v>1.2</v>
      </c>
      <c r="FG58" s="236">
        <f t="shared" si="158"/>
        <v>1.3276694846924078</v>
      </c>
      <c r="FH58" s="236">
        <f t="shared" si="159"/>
        <v>1.3261391350682916</v>
      </c>
      <c r="FI58" s="236">
        <f t="shared" si="160"/>
        <v>0.9</v>
      </c>
      <c r="FJ58" s="236">
        <f t="shared" si="161"/>
        <v>1.1252089630882474</v>
      </c>
      <c r="FK58" s="236">
        <f t="shared" si="240"/>
        <v>1.1298362638081578</v>
      </c>
      <c r="FL58" s="236">
        <f t="shared" si="241"/>
        <v>0.19404462304395234</v>
      </c>
      <c r="FM58" s="236">
        <f t="shared" si="242"/>
        <v>17.174579119094414</v>
      </c>
      <c r="FO58" s="227">
        <f t="shared" si="162"/>
        <v>0.3</v>
      </c>
      <c r="FP58" s="227">
        <f t="shared" si="163"/>
        <v>0.32</v>
      </c>
      <c r="FQ58" s="227">
        <f t="shared" si="164"/>
        <v>0.35432743259625177</v>
      </c>
      <c r="FR58" s="227">
        <f t="shared" si="165"/>
        <v>0.3</v>
      </c>
      <c r="FS58" s="227">
        <f t="shared" si="166"/>
        <v>0.36167430956407948</v>
      </c>
      <c r="FT58" s="227">
        <f t="shared" si="243"/>
        <v>0.32720034843206625</v>
      </c>
      <c r="FU58" s="227">
        <f t="shared" si="244"/>
        <v>2.9393433019031398E-2</v>
      </c>
      <c r="FV58" s="227">
        <f t="shared" si="245"/>
        <v>8.9833134835839275</v>
      </c>
      <c r="FX58" s="230">
        <f t="shared" si="167"/>
        <v>2.94</v>
      </c>
      <c r="FY58" s="230">
        <f t="shared" si="168"/>
        <v>1.6878134446323712</v>
      </c>
      <c r="FZ58" s="230">
        <f t="shared" si="169"/>
        <v>2.94</v>
      </c>
      <c r="GA58" s="230">
        <f t="shared" si="170"/>
        <v>4.0117295794637338</v>
      </c>
      <c r="GB58" s="230">
        <f t="shared" si="246"/>
        <v>2.894885756024026</v>
      </c>
      <c r="GC58" s="230">
        <f t="shared" si="247"/>
        <v>0.95016389479269503</v>
      </c>
      <c r="GD58" s="230">
        <f t="shared" si="248"/>
        <v>32.822155168489111</v>
      </c>
      <c r="GF58" s="231">
        <f t="shared" si="171"/>
        <v>0.06</v>
      </c>
      <c r="GG58" s="231">
        <f t="shared" si="172"/>
        <v>0.05</v>
      </c>
      <c r="GH58" s="231">
        <f t="shared" si="173"/>
        <v>0.06</v>
      </c>
      <c r="GI58" s="231">
        <f t="shared" si="174"/>
        <v>6.4297655033614134E-2</v>
      </c>
      <c r="GJ58" s="245">
        <f t="shared" si="187"/>
        <v>5.8574413758403526E-2</v>
      </c>
      <c r="GK58" s="231">
        <f t="shared" si="188"/>
        <v>6.0646696601170374E-3</v>
      </c>
      <c r="GL58" s="231">
        <f t="shared" si="249"/>
        <v>10.353786356499308</v>
      </c>
      <c r="GN58" s="246">
        <f t="shared" si="175"/>
        <v>0.18</v>
      </c>
      <c r="GO58" s="246">
        <f t="shared" si="176"/>
        <v>0.18</v>
      </c>
      <c r="GP58" s="246">
        <f t="shared" si="177"/>
        <v>0.16878134446323709</v>
      </c>
      <c r="GQ58" s="247">
        <f t="shared" si="189"/>
        <v>0.17626044815441236</v>
      </c>
      <c r="GR58" s="246">
        <f t="shared" si="190"/>
        <v>6.477093794095749E-3</v>
      </c>
      <c r="GS58" s="246">
        <f t="shared" si="250"/>
        <v>3.674728994460239</v>
      </c>
      <c r="GU58" s="249">
        <f t="shared" si="178"/>
        <v>2.202194684901284E-2</v>
      </c>
      <c r="GV58" s="249">
        <f t="shared" si="179"/>
        <v>2.202194684901284E-2</v>
      </c>
      <c r="GW58" s="249" t="e">
        <f t="shared" si="180"/>
        <v>#DIV/0!</v>
      </c>
      <c r="GX58" s="249" t="e">
        <f t="shared" si="251"/>
        <v>#DIV/0!</v>
      </c>
      <c r="GZ58" s="240">
        <f t="shared" si="181"/>
        <v>2.4111620637605302E-2</v>
      </c>
      <c r="HA58" s="240">
        <f t="shared" si="182"/>
        <v>2.4111620637605302E-2</v>
      </c>
      <c r="HB58" s="240" t="e">
        <f t="shared" si="183"/>
        <v>#DIV/0!</v>
      </c>
      <c r="HC58" s="240" t="e">
        <f t="shared" si="252"/>
        <v>#DIV/0!</v>
      </c>
      <c r="HE58" s="234">
        <f t="shared" si="184"/>
        <v>9.5212561862501016E-2</v>
      </c>
      <c r="HF58" s="251">
        <f t="shared" si="185"/>
        <v>9.5212561862501016E-2</v>
      </c>
      <c r="HG58" s="234" t="e">
        <f t="shared" si="186"/>
        <v>#DIV/0!</v>
      </c>
      <c r="HH58" s="234" t="e">
        <f t="shared" si="253"/>
        <v>#DIV/0!</v>
      </c>
    </row>
    <row r="59" spans="2:216" ht="15.6" x14ac:dyDescent="0.25">
      <c r="B59">
        <v>55</v>
      </c>
      <c r="C59" s="124">
        <f t="shared" si="52"/>
        <v>80.405205924718757</v>
      </c>
      <c r="D59" s="124">
        <f t="shared" si="53"/>
        <v>174.48349294675199</v>
      </c>
      <c r="E59" s="29">
        <f t="shared" si="201"/>
        <v>2.012242355198067</v>
      </c>
      <c r="F59" s="29">
        <f t="shared" si="202"/>
        <v>1.9560682174863453</v>
      </c>
      <c r="G59" s="29">
        <f t="shared" si="203"/>
        <v>1.9866652616816074</v>
      </c>
      <c r="H59" s="29">
        <f t="shared" si="204"/>
        <v>2.012242355198067</v>
      </c>
      <c r="I59" s="29">
        <f t="shared" si="205"/>
        <v>1.9740948123160853</v>
      </c>
      <c r="J59" s="125">
        <f t="shared" si="206"/>
        <v>1.9882626003760344</v>
      </c>
      <c r="K59" s="126">
        <f t="shared" si="207"/>
        <v>2.4442858270432757E-2</v>
      </c>
      <c r="L59" s="126">
        <f t="shared" si="55"/>
        <v>1.2293576444987675</v>
      </c>
      <c r="N59" s="138">
        <f t="shared" si="56"/>
        <v>417.53514607896722</v>
      </c>
      <c r="O59" s="138">
        <f t="shared" si="57"/>
        <v>325.79239999999999</v>
      </c>
      <c r="P59" s="138">
        <f t="shared" si="58"/>
        <v>345.36388791080122</v>
      </c>
      <c r="Q59" s="138">
        <f t="shared" si="59"/>
        <v>425.70636312911165</v>
      </c>
      <c r="R59" s="138">
        <f t="shared" si="60"/>
        <v>417.53514607896722</v>
      </c>
      <c r="S59" s="138">
        <f t="shared" si="61"/>
        <v>370.26749999999998</v>
      </c>
      <c r="T59" s="138">
        <f t="shared" si="62"/>
        <v>383.70007386630795</v>
      </c>
      <c r="U59" s="138">
        <f t="shared" si="63"/>
        <v>42.561833719419425</v>
      </c>
      <c r="V59" s="138">
        <f t="shared" si="64"/>
        <v>11.092474726561868</v>
      </c>
      <c r="X59" s="227">
        <f t="shared" si="65"/>
        <v>0.44205910625</v>
      </c>
      <c r="Y59" s="227">
        <f t="shared" si="66"/>
        <v>0.47</v>
      </c>
      <c r="Z59" s="227">
        <f t="shared" si="67"/>
        <v>0.44205910625</v>
      </c>
      <c r="AA59" s="227">
        <f t="shared" si="68"/>
        <v>0.45137273750000001</v>
      </c>
      <c r="AB59" s="227">
        <f t="shared" si="69"/>
        <v>1.6131682527961218E-2</v>
      </c>
      <c r="AC59" s="227">
        <f t="shared" si="70"/>
        <v>3.5739160094845595</v>
      </c>
      <c r="AE59" s="228">
        <f t="shared" si="71"/>
        <v>4.4413599991770694</v>
      </c>
      <c r="AF59" s="228">
        <f t="shared" si="72"/>
        <v>5.2850000000000001</v>
      </c>
      <c r="AG59" s="228">
        <f t="shared" si="73"/>
        <v>4.4413599991770694</v>
      </c>
      <c r="AH59" s="228">
        <f t="shared" si="74"/>
        <v>7.2100845624102483</v>
      </c>
      <c r="AI59" s="228">
        <f t="shared" si="75"/>
        <v>5.2850000000000001</v>
      </c>
      <c r="AJ59" s="228">
        <f t="shared" si="76"/>
        <v>6.1188361708710692</v>
      </c>
      <c r="AK59" s="228">
        <f t="shared" si="77"/>
        <v>5.4819947728794283</v>
      </c>
      <c r="AL59" s="228">
        <f t="shared" si="78"/>
        <v>5.4662336435021261</v>
      </c>
      <c r="AM59" s="228">
        <f t="shared" si="79"/>
        <v>0.96898380963793562</v>
      </c>
      <c r="AN59" s="228">
        <f t="shared" si="80"/>
        <v>17.726717751806959</v>
      </c>
      <c r="AP59" s="229">
        <f t="shared" si="192"/>
        <v>1.4197895277207391</v>
      </c>
      <c r="AQ59" s="229">
        <f t="shared" si="193"/>
        <v>1.4</v>
      </c>
      <c r="AR59" s="229">
        <f t="shared" si="194"/>
        <v>1.47</v>
      </c>
      <c r="AS59" s="229">
        <f t="shared" si="195"/>
        <v>1.3724939659611535</v>
      </c>
      <c r="AT59" s="229">
        <f t="shared" si="196"/>
        <v>1.4197895277207391</v>
      </c>
      <c r="AU59" s="229">
        <f t="shared" si="197"/>
        <v>1.0243124527311389</v>
      </c>
      <c r="AV59" s="229">
        <f t="shared" si="198"/>
        <v>1.4</v>
      </c>
      <c r="AW59" s="229">
        <f t="shared" si="199"/>
        <v>1.4499999999660009</v>
      </c>
      <c r="AX59" s="229">
        <f t="shared" si="200"/>
        <v>1.3913123776968688</v>
      </c>
      <c r="AY59" s="229">
        <f t="shared" si="90"/>
        <v>1.3719664279774044</v>
      </c>
      <c r="AZ59" s="229">
        <f t="shared" si="91"/>
        <v>0.13373645269289253</v>
      </c>
      <c r="BA59" s="229">
        <f t="shared" si="92"/>
        <v>9.7477933836945976</v>
      </c>
      <c r="BC59" s="230">
        <f t="shared" si="93"/>
        <v>9.65</v>
      </c>
      <c r="BD59" s="230">
        <f t="shared" si="94"/>
        <v>11.73</v>
      </c>
      <c r="BE59" s="230">
        <f t="shared" si="95"/>
        <v>9.65</v>
      </c>
      <c r="BF59" s="230">
        <f t="shared" si="96"/>
        <v>8.8785846153846162</v>
      </c>
      <c r="BG59" s="230">
        <f t="shared" si="97"/>
        <v>9.9771461538461548</v>
      </c>
      <c r="BH59" s="230">
        <f t="shared" si="98"/>
        <v>1.2238441174860892</v>
      </c>
      <c r="BI59" s="230">
        <f t="shared" si="99"/>
        <v>12.266474787625533</v>
      </c>
      <c r="BK59" s="227">
        <f t="shared" si="208"/>
        <v>19.600000000000001</v>
      </c>
      <c r="BL59" s="227">
        <f t="shared" si="209"/>
        <v>31.73</v>
      </c>
      <c r="BM59" s="227">
        <f t="shared" si="210"/>
        <v>40.585481748620218</v>
      </c>
      <c r="BN59" s="227">
        <f t="shared" si="211"/>
        <v>22.881031644137121</v>
      </c>
      <c r="BO59" s="227">
        <f t="shared" si="212"/>
        <v>19.600000000000001</v>
      </c>
      <c r="BP59" s="227">
        <f t="shared" si="213"/>
        <v>28.132624548723236</v>
      </c>
      <c r="BQ59" s="227">
        <f t="shared" si="214"/>
        <v>31.86</v>
      </c>
      <c r="BR59" s="227">
        <f t="shared" si="100"/>
        <v>27.769876848782935</v>
      </c>
      <c r="BS59" s="227">
        <f t="shared" si="101"/>
        <v>7.6830720905444805</v>
      </c>
      <c r="BT59" s="227">
        <f t="shared" si="215"/>
        <v>27.666928925834274</v>
      </c>
      <c r="BV59" s="231">
        <f t="shared" si="102"/>
        <v>0.26</v>
      </c>
      <c r="BW59" s="231">
        <f t="shared" si="103"/>
        <v>0.3108876259424404</v>
      </c>
      <c r="BX59" s="231">
        <f t="shared" si="104"/>
        <v>0.3243333553283177</v>
      </c>
      <c r="BY59" s="231">
        <f t="shared" si="105"/>
        <v>0.26</v>
      </c>
      <c r="BZ59" s="231">
        <f t="shared" si="106"/>
        <v>0.33770359638505237</v>
      </c>
      <c r="CA59" s="231">
        <f t="shared" si="107"/>
        <v>0.31393450786895166</v>
      </c>
      <c r="CB59" s="231">
        <f t="shared" si="108"/>
        <v>0.48</v>
      </c>
      <c r="CC59" s="231">
        <f t="shared" si="109"/>
        <v>0.4549619740071808</v>
      </c>
      <c r="CD59" s="231">
        <f t="shared" si="110"/>
        <v>0.34272763244149285</v>
      </c>
      <c r="CE59" s="231">
        <f t="shared" si="111"/>
        <v>8.2231722299047169E-2</v>
      </c>
      <c r="CF59" s="231">
        <f t="shared" si="216"/>
        <v>23.993315541338784</v>
      </c>
      <c r="CH59" s="232">
        <f t="shared" si="112"/>
        <v>1.480737971641447</v>
      </c>
      <c r="CI59" s="232">
        <f t="shared" si="113"/>
        <v>1.52</v>
      </c>
      <c r="CJ59" s="232">
        <f t="shared" si="114"/>
        <v>2.1</v>
      </c>
      <c r="CK59" s="232">
        <f t="shared" si="115"/>
        <v>1.9860166700062551</v>
      </c>
      <c r="CL59" s="232">
        <f t="shared" si="116"/>
        <v>1.867070984082726</v>
      </c>
      <c r="CM59" s="232">
        <f t="shared" si="117"/>
        <v>1.5350860100491983</v>
      </c>
      <c r="CN59" s="232">
        <f t="shared" si="118"/>
        <v>1.4836389259577716</v>
      </c>
      <c r="CO59" s="232">
        <f t="shared" si="119"/>
        <v>1.8857999761228048</v>
      </c>
      <c r="CP59" s="232">
        <f t="shared" si="120"/>
        <v>1.52</v>
      </c>
      <c r="CQ59" s="232">
        <f t="shared" si="121"/>
        <v>1.4880967652760086</v>
      </c>
      <c r="CR59" s="232">
        <f t="shared" si="122"/>
        <v>1.6866447303136212</v>
      </c>
      <c r="CS59" s="232">
        <f t="shared" si="123"/>
        <v>0.24363994484022003</v>
      </c>
      <c r="CT59" s="232">
        <f t="shared" si="217"/>
        <v>14.445243889323194</v>
      </c>
      <c r="CV59" s="229">
        <f t="shared" si="218"/>
        <v>0.83</v>
      </c>
      <c r="CW59" s="229">
        <f t="shared" si="219"/>
        <v>1.19</v>
      </c>
      <c r="CX59" s="229">
        <f t="shared" si="220"/>
        <v>0.76998106091586549</v>
      </c>
      <c r="CY59" s="229">
        <f t="shared" si="221"/>
        <v>0.52207375170878823</v>
      </c>
      <c r="CZ59" s="229">
        <f t="shared" si="222"/>
        <v>1.2013794603390315</v>
      </c>
      <c r="DA59" s="229">
        <f t="shared" si="223"/>
        <v>0.83</v>
      </c>
      <c r="DB59" s="229">
        <f t="shared" si="224"/>
        <v>0.54675540028808756</v>
      </c>
      <c r="DC59" s="229">
        <f t="shared" si="225"/>
        <v>0.89</v>
      </c>
      <c r="DD59" s="229">
        <f t="shared" si="226"/>
        <v>0.84752370915647157</v>
      </c>
      <c r="DE59" s="229">
        <f t="shared" si="227"/>
        <v>0.25278856529359345</v>
      </c>
      <c r="DF59" s="229">
        <f t="shared" si="228"/>
        <v>29.82672491194262</v>
      </c>
      <c r="DH59" s="234">
        <f t="shared" si="124"/>
        <v>8.14E-2</v>
      </c>
      <c r="DI59" s="234">
        <f t="shared" si="125"/>
        <v>0.11</v>
      </c>
      <c r="DJ59" s="234">
        <f t="shared" si="126"/>
        <v>0.11303130352625539</v>
      </c>
      <c r="DK59" s="234">
        <f t="shared" si="229"/>
        <v>0.10147710117541847</v>
      </c>
      <c r="DL59" s="234">
        <f t="shared" si="230"/>
        <v>1.7453214430959738E-2</v>
      </c>
      <c r="DM59" s="234">
        <f t="shared" si="231"/>
        <v>17.199165357304821</v>
      </c>
      <c r="DO59" s="229">
        <f t="shared" si="127"/>
        <v>2.38</v>
      </c>
      <c r="DP59" s="229">
        <f t="shared" si="128"/>
        <v>3.49</v>
      </c>
      <c r="DQ59" s="229">
        <f t="shared" si="129"/>
        <v>3.8078977982461177</v>
      </c>
      <c r="DR59" s="229">
        <f t="shared" si="130"/>
        <v>2.9823939005640514</v>
      </c>
      <c r="DS59" s="229">
        <f t="shared" si="131"/>
        <v>2.676912465129266</v>
      </c>
      <c r="DT59" s="229">
        <f t="shared" si="132"/>
        <v>2.38</v>
      </c>
      <c r="DU59" s="229">
        <f t="shared" si="133"/>
        <v>2.4859999999999998</v>
      </c>
      <c r="DV59" s="229">
        <f t="shared" si="134"/>
        <v>3.3905759396278046</v>
      </c>
      <c r="DW59" s="229">
        <f t="shared" si="232"/>
        <v>2.9492225129459051</v>
      </c>
      <c r="DX59" s="229">
        <f t="shared" si="233"/>
        <v>0.55580226718051773</v>
      </c>
      <c r="DY59" s="229">
        <f t="shared" si="234"/>
        <v>18.845721702610383</v>
      </c>
      <c r="EA59" s="235">
        <f t="shared" si="135"/>
        <v>0.14000000000000001</v>
      </c>
      <c r="EB59" s="235">
        <f t="shared" si="136"/>
        <v>0.21485420841645644</v>
      </c>
      <c r="EC59" s="235">
        <f t="shared" si="137"/>
        <v>0.14000000000000001</v>
      </c>
      <c r="ED59" s="235">
        <f t="shared" si="138"/>
        <v>0.16885093244190938</v>
      </c>
      <c r="EE59" s="235">
        <f t="shared" si="139"/>
        <v>0.1402313747748363</v>
      </c>
      <c r="EF59" s="235">
        <f t="shared" si="140"/>
        <v>0.16078730312664041</v>
      </c>
      <c r="EG59" s="235">
        <f t="shared" si="141"/>
        <v>3.2691828100896089E-2</v>
      </c>
      <c r="EH59" s="235">
        <f t="shared" si="235"/>
        <v>20.332344323946476</v>
      </c>
      <c r="EJ59" s="229">
        <f t="shared" si="142"/>
        <v>7.5426305676856105</v>
      </c>
      <c r="EK59" s="229">
        <f t="shared" si="143"/>
        <v>16.755639780315249</v>
      </c>
      <c r="EL59" s="229">
        <f t="shared" si="144"/>
        <v>6.91</v>
      </c>
      <c r="EM59" s="229">
        <f t="shared" si="145"/>
        <v>14.4</v>
      </c>
      <c r="EN59" s="229">
        <f t="shared" si="146"/>
        <v>22.022550083628783</v>
      </c>
      <c r="EO59" s="229">
        <f t="shared" si="236"/>
        <v>22.04678060454064</v>
      </c>
      <c r="EP59" s="229">
        <f t="shared" si="147"/>
        <v>20.98841225136141</v>
      </c>
      <c r="EQ59" s="229">
        <f t="shared" si="148"/>
        <v>15.809430469647385</v>
      </c>
      <c r="ER59" s="229">
        <f t="shared" si="149"/>
        <v>6.5160173668398027</v>
      </c>
      <c r="ES59" s="229">
        <f t="shared" si="237"/>
        <v>41.216015841620234</v>
      </c>
      <c r="EU59" s="238">
        <f t="shared" si="191"/>
        <v>1.6081041184943752E-2</v>
      </c>
      <c r="EV59" s="238">
        <f t="shared" si="151"/>
        <v>1.6081041184943752E-2</v>
      </c>
      <c r="EW59" s="238" t="e">
        <f t="shared" si="152"/>
        <v>#DIV/0!</v>
      </c>
      <c r="EX59" s="238" t="e">
        <f t="shared" si="238"/>
        <v>#DIV/0!</v>
      </c>
      <c r="EZ59" s="240">
        <f t="shared" si="153"/>
        <v>2.7498580426253815E-2</v>
      </c>
      <c r="FA59" s="240">
        <f t="shared" si="154"/>
        <v>2.7498580426253815E-2</v>
      </c>
      <c r="FB59" s="240" t="e">
        <f t="shared" si="155"/>
        <v>#DIV/0!</v>
      </c>
      <c r="FC59" s="240" t="e">
        <f t="shared" si="239"/>
        <v>#DIV/0!</v>
      </c>
      <c r="FE59" s="236">
        <f t="shared" si="156"/>
        <v>0.9</v>
      </c>
      <c r="FF59" s="236">
        <f t="shared" si="157"/>
        <v>1.2</v>
      </c>
      <c r="FG59" s="236">
        <f t="shared" si="158"/>
        <v>1.3275774848996327</v>
      </c>
      <c r="FH59" s="236">
        <f t="shared" si="159"/>
        <v>1.3266858977578595</v>
      </c>
      <c r="FI59" s="236">
        <f t="shared" si="160"/>
        <v>0.9</v>
      </c>
      <c r="FJ59" s="236">
        <f t="shared" si="161"/>
        <v>1.1256728829460627</v>
      </c>
      <c r="FK59" s="236">
        <f t="shared" si="240"/>
        <v>1.1299893776005925</v>
      </c>
      <c r="FL59" s="236">
        <f t="shared" si="241"/>
        <v>0.19413445247099509</v>
      </c>
      <c r="FM59" s="236">
        <f t="shared" si="242"/>
        <v>17.180201541647953</v>
      </c>
      <c r="FO59" s="227">
        <f t="shared" si="162"/>
        <v>0.3</v>
      </c>
      <c r="FP59" s="227">
        <f t="shared" si="163"/>
        <v>0.32</v>
      </c>
      <c r="FQ59" s="227">
        <f t="shared" si="164"/>
        <v>0.35458044361617541</v>
      </c>
      <c r="FR59" s="227">
        <f t="shared" si="165"/>
        <v>0.3</v>
      </c>
      <c r="FS59" s="227">
        <f t="shared" si="166"/>
        <v>0.3618234266612344</v>
      </c>
      <c r="FT59" s="227">
        <f t="shared" si="243"/>
        <v>0.32728077405548195</v>
      </c>
      <c r="FU59" s="227">
        <f t="shared" si="244"/>
        <v>2.9495583331001628E-2</v>
      </c>
      <c r="FV59" s="227">
        <f t="shared" si="245"/>
        <v>9.0123177617519996</v>
      </c>
      <c r="FX59" s="230">
        <f t="shared" si="167"/>
        <v>2.94</v>
      </c>
      <c r="FY59" s="230">
        <f t="shared" si="168"/>
        <v>1.6885093244190941</v>
      </c>
      <c r="FZ59" s="230">
        <f t="shared" si="169"/>
        <v>2.94</v>
      </c>
      <c r="GA59" s="230">
        <f t="shared" si="170"/>
        <v>4.0141122272700445</v>
      </c>
      <c r="GB59" s="230">
        <f t="shared" si="246"/>
        <v>2.8956553879222842</v>
      </c>
      <c r="GC59" s="230">
        <f t="shared" si="247"/>
        <v>0.9508032059537318</v>
      </c>
      <c r="GD59" s="230">
        <f t="shared" si="248"/>
        <v>32.835509706006846</v>
      </c>
      <c r="GF59" s="231">
        <f t="shared" si="171"/>
        <v>0.06</v>
      </c>
      <c r="GG59" s="231">
        <f t="shared" si="172"/>
        <v>0.05</v>
      </c>
      <c r="GH59" s="231">
        <f t="shared" si="173"/>
        <v>0.06</v>
      </c>
      <c r="GI59" s="231">
        <f t="shared" si="174"/>
        <v>6.4324164739775008E-2</v>
      </c>
      <c r="GJ59" s="245">
        <f t="shared" si="187"/>
        <v>5.8581041184943748E-2</v>
      </c>
      <c r="GK59" s="231">
        <f t="shared" si="188"/>
        <v>6.0730174878009932E-3</v>
      </c>
      <c r="GL59" s="231">
        <f t="shared" si="249"/>
        <v>10.366865055587054</v>
      </c>
      <c r="GN59" s="246">
        <f t="shared" si="175"/>
        <v>0.18</v>
      </c>
      <c r="GO59" s="246">
        <f t="shared" si="176"/>
        <v>0.18</v>
      </c>
      <c r="GP59" s="246">
        <f t="shared" si="177"/>
        <v>0.16885093244190938</v>
      </c>
      <c r="GQ59" s="247">
        <f t="shared" si="189"/>
        <v>0.17628364414730313</v>
      </c>
      <c r="GR59" s="246">
        <f t="shared" si="190"/>
        <v>6.4369171558769402E-3</v>
      </c>
      <c r="GS59" s="246">
        <f t="shared" si="250"/>
        <v>3.6514545561006404</v>
      </c>
      <c r="GU59" s="249">
        <f t="shared" si="178"/>
        <v>2.203102642337294E-2</v>
      </c>
      <c r="GV59" s="249">
        <f t="shared" si="179"/>
        <v>2.203102642337294E-2</v>
      </c>
      <c r="GW59" s="249" t="e">
        <f t="shared" si="180"/>
        <v>#DIV/0!</v>
      </c>
      <c r="GX59" s="249" t="e">
        <f t="shared" si="251"/>
        <v>#DIV/0!</v>
      </c>
      <c r="GZ59" s="240">
        <f t="shared" si="181"/>
        <v>2.4121561777415628E-2</v>
      </c>
      <c r="HA59" s="240">
        <f t="shared" si="182"/>
        <v>2.4121561777415628E-2</v>
      </c>
      <c r="HB59" s="240" t="e">
        <f t="shared" si="183"/>
        <v>#DIV/0!</v>
      </c>
      <c r="HC59" s="240" t="e">
        <f t="shared" si="252"/>
        <v>#DIV/0!</v>
      </c>
      <c r="HE59" s="234">
        <f t="shared" si="184"/>
        <v>9.5251995050415303E-2</v>
      </c>
      <c r="HF59" s="251">
        <f t="shared" si="185"/>
        <v>9.5251995050415303E-2</v>
      </c>
      <c r="HG59" s="234" t="e">
        <f t="shared" si="186"/>
        <v>#DIV/0!</v>
      </c>
      <c r="HH59" s="234" t="e">
        <f t="shared" si="253"/>
        <v>#DIV/0!</v>
      </c>
    </row>
    <row r="60" spans="2:216" ht="15.6" x14ac:dyDescent="0.25">
      <c r="B60">
        <v>56</v>
      </c>
      <c r="C60" s="124">
        <f t="shared" si="52"/>
        <v>80.446650585294265</v>
      </c>
      <c r="D60" s="124">
        <f t="shared" si="53"/>
        <v>174.54081997731805</v>
      </c>
      <c r="E60" s="29">
        <f t="shared" si="201"/>
        <v>2.0130593568336992</v>
      </c>
      <c r="F60" s="29">
        <f t="shared" si="202"/>
        <v>1.9569626783365619</v>
      </c>
      <c r="G60" s="29">
        <f t="shared" si="203"/>
        <v>1.9874680635208697</v>
      </c>
      <c r="H60" s="29">
        <f t="shared" si="204"/>
        <v>2.0130593568336992</v>
      </c>
      <c r="I60" s="29">
        <f t="shared" si="205"/>
        <v>1.9749278719308863</v>
      </c>
      <c r="J60" s="125">
        <f t="shared" si="206"/>
        <v>1.9890954654911432</v>
      </c>
      <c r="K60" s="126">
        <f t="shared" si="207"/>
        <v>2.4415268436670776E-2</v>
      </c>
      <c r="L60" s="126">
        <f t="shared" si="55"/>
        <v>1.2274558391113826</v>
      </c>
      <c r="N60" s="138">
        <f t="shared" si="56"/>
        <v>417.71004775314015</v>
      </c>
      <c r="O60" s="138">
        <f t="shared" si="57"/>
        <v>325.79239999999999</v>
      </c>
      <c r="P60" s="138">
        <f t="shared" si="58"/>
        <v>343.94321215770123</v>
      </c>
      <c r="Q60" s="138">
        <f t="shared" si="59"/>
        <v>425.87331657504677</v>
      </c>
      <c r="R60" s="138">
        <f t="shared" si="60"/>
        <v>417.71004775314015</v>
      </c>
      <c r="S60" s="138">
        <f t="shared" si="61"/>
        <v>367.94880000000001</v>
      </c>
      <c r="T60" s="138">
        <f t="shared" si="62"/>
        <v>383.16297070650472</v>
      </c>
      <c r="U60" s="138">
        <f t="shared" si="63"/>
        <v>43.063250093892727</v>
      </c>
      <c r="V60" s="138">
        <f t="shared" si="64"/>
        <v>11.238886162326558</v>
      </c>
      <c r="X60" s="227">
        <f t="shared" si="65"/>
        <v>0.44150479839999995</v>
      </c>
      <c r="Y60" s="227">
        <f t="shared" si="66"/>
        <v>0.47</v>
      </c>
      <c r="Z60" s="227">
        <f t="shared" si="67"/>
        <v>0.44150479839999995</v>
      </c>
      <c r="AA60" s="227">
        <f t="shared" si="68"/>
        <v>0.45100319893333335</v>
      </c>
      <c r="AB60" s="227">
        <f t="shared" si="69"/>
        <v>1.6451712314372667E-2</v>
      </c>
      <c r="AC60" s="227">
        <f t="shared" si="70"/>
        <v>3.6478039076624231</v>
      </c>
      <c r="AE60" s="228">
        <f t="shared" si="71"/>
        <v>4.4436078871941698</v>
      </c>
      <c r="AF60" s="228">
        <f t="shared" si="72"/>
        <v>5.2850000000000001</v>
      </c>
      <c r="AG60" s="228">
        <f t="shared" si="73"/>
        <v>4.4436078871941698</v>
      </c>
      <c r="AH60" s="228">
        <f t="shared" si="74"/>
        <v>7.2137998157321315</v>
      </c>
      <c r="AI60" s="228">
        <f t="shared" si="75"/>
        <v>5.2850000000000001</v>
      </c>
      <c r="AJ60" s="228">
        <f t="shared" si="76"/>
        <v>6.121990109540878</v>
      </c>
      <c r="AK60" s="228">
        <f t="shared" si="77"/>
        <v>5.4846112264957601</v>
      </c>
      <c r="AL60" s="228">
        <f t="shared" si="78"/>
        <v>5.4682309894510155</v>
      </c>
      <c r="AM60" s="228">
        <f t="shared" si="79"/>
        <v>0.96966764245092762</v>
      </c>
      <c r="AN60" s="228">
        <f t="shared" si="80"/>
        <v>17.732748384652229</v>
      </c>
      <c r="AP60" s="229">
        <f t="shared" si="192"/>
        <v>1.4202310097851307</v>
      </c>
      <c r="AQ60" s="229">
        <f t="shared" si="193"/>
        <v>1.4</v>
      </c>
      <c r="AR60" s="229">
        <f t="shared" si="194"/>
        <v>1.47</v>
      </c>
      <c r="AS60" s="229">
        <f t="shared" si="195"/>
        <v>1.371262779108092</v>
      </c>
      <c r="AT60" s="229">
        <f t="shared" si="196"/>
        <v>1.4202310097851307</v>
      </c>
      <c r="AU60" s="229">
        <f t="shared" si="197"/>
        <v>1.0425555749002946</v>
      </c>
      <c r="AV60" s="229">
        <f t="shared" si="198"/>
        <v>1.4</v>
      </c>
      <c r="AW60" s="229">
        <f t="shared" si="199"/>
        <v>1.4499999999781032</v>
      </c>
      <c r="AX60" s="229">
        <f t="shared" si="200"/>
        <v>1.3891021917002373</v>
      </c>
      <c r="AY60" s="229">
        <f t="shared" si="90"/>
        <v>1.3737091739174432</v>
      </c>
      <c r="AZ60" s="229">
        <f t="shared" si="91"/>
        <v>0.12782254633471396</v>
      </c>
      <c r="BA60" s="229">
        <f t="shared" si="92"/>
        <v>9.3049204854764849</v>
      </c>
      <c r="BC60" s="230">
        <f t="shared" si="93"/>
        <v>9.65</v>
      </c>
      <c r="BD60" s="230">
        <f t="shared" si="94"/>
        <v>11.73</v>
      </c>
      <c r="BE60" s="230">
        <f t="shared" si="95"/>
        <v>9.65</v>
      </c>
      <c r="BF60" s="230">
        <f t="shared" si="96"/>
        <v>8.8727384615384626</v>
      </c>
      <c r="BG60" s="230">
        <f t="shared" si="97"/>
        <v>9.9756846153846155</v>
      </c>
      <c r="BH60" s="230">
        <f t="shared" si="98"/>
        <v>1.2255955864230121</v>
      </c>
      <c r="BI60" s="230">
        <f t="shared" si="99"/>
        <v>12.28582933077981</v>
      </c>
      <c r="BK60" s="227">
        <f t="shared" si="208"/>
        <v>19.600000000000001</v>
      </c>
      <c r="BL60" s="227">
        <f t="shared" si="209"/>
        <v>31.73</v>
      </c>
      <c r="BM60" s="227">
        <f t="shared" si="210"/>
        <v>40.59886271132401</v>
      </c>
      <c r="BN60" s="227">
        <f t="shared" si="211"/>
        <v>22.884811009418485</v>
      </c>
      <c r="BO60" s="227">
        <f t="shared" si="212"/>
        <v>19.600000000000001</v>
      </c>
      <c r="BP60" s="227">
        <f t="shared" si="213"/>
        <v>27.895479595221662</v>
      </c>
      <c r="BQ60" s="227">
        <f t="shared" si="214"/>
        <v>31.86</v>
      </c>
      <c r="BR60" s="227">
        <f t="shared" si="100"/>
        <v>27.738450473709161</v>
      </c>
      <c r="BS60" s="227">
        <f t="shared" si="101"/>
        <v>7.6850619978008021</v>
      </c>
      <c r="BT60" s="227">
        <f t="shared" si="215"/>
        <v>27.705448093017299</v>
      </c>
      <c r="BV60" s="231">
        <f t="shared" si="102"/>
        <v>0.26</v>
      </c>
      <c r="BW60" s="231">
        <f t="shared" si="103"/>
        <v>0.31053652369911522</v>
      </c>
      <c r="BX60" s="231">
        <f t="shared" si="104"/>
        <v>0.32445606768608592</v>
      </c>
      <c r="BY60" s="231">
        <f t="shared" si="105"/>
        <v>0.26</v>
      </c>
      <c r="BZ60" s="231">
        <f t="shared" si="106"/>
        <v>0.33787732552011046</v>
      </c>
      <c r="CA60" s="231">
        <f t="shared" si="107"/>
        <v>0.31411089107283435</v>
      </c>
      <c r="CB60" s="231">
        <f t="shared" si="108"/>
        <v>0.48</v>
      </c>
      <c r="CC60" s="231">
        <f t="shared" si="109"/>
        <v>0.45518912273859452</v>
      </c>
      <c r="CD60" s="231">
        <f t="shared" si="110"/>
        <v>0.34277124133959258</v>
      </c>
      <c r="CE60" s="231">
        <f t="shared" si="111"/>
        <v>8.228136201412041E-2</v>
      </c>
      <c r="CF60" s="231">
        <f t="shared" si="216"/>
        <v>24.004744882492073</v>
      </c>
      <c r="CH60" s="232">
        <f t="shared" si="112"/>
        <v>1.481477484151156</v>
      </c>
      <c r="CI60" s="232">
        <f t="shared" si="113"/>
        <v>1.52</v>
      </c>
      <c r="CJ60" s="232">
        <f t="shared" si="114"/>
        <v>2.1</v>
      </c>
      <c r="CK60" s="232">
        <f t="shared" si="115"/>
        <v>1.9870387730885746</v>
      </c>
      <c r="CL60" s="232">
        <f t="shared" si="116"/>
        <v>1.8636947725013593</v>
      </c>
      <c r="CM60" s="232">
        <f t="shared" si="117"/>
        <v>1.5357031549080373</v>
      </c>
      <c r="CN60" s="232">
        <f t="shared" si="118"/>
        <v>1.4843798872666929</v>
      </c>
      <c r="CO60" s="232">
        <f t="shared" si="119"/>
        <v>1.8867235043721491</v>
      </c>
      <c r="CP60" s="232">
        <f t="shared" si="120"/>
        <v>1.52</v>
      </c>
      <c r="CQ60" s="232">
        <f t="shared" si="121"/>
        <v>1.4887630291983491</v>
      </c>
      <c r="CR60" s="232">
        <f t="shared" si="122"/>
        <v>1.6867780605486318</v>
      </c>
      <c r="CS60" s="232">
        <f t="shared" si="123"/>
        <v>0.2433477941241001</v>
      </c>
      <c r="CT60" s="232">
        <f t="shared" si="217"/>
        <v>14.426782029934049</v>
      </c>
      <c r="CV60" s="229">
        <f t="shared" si="218"/>
        <v>0.83</v>
      </c>
      <c r="CW60" s="229">
        <f t="shared" si="219"/>
        <v>1.19</v>
      </c>
      <c r="CX60" s="229">
        <f t="shared" si="220"/>
        <v>0.77221549575524073</v>
      </c>
      <c r="CY60" s="229">
        <f t="shared" si="221"/>
        <v>0.52230780244536434</v>
      </c>
      <c r="CZ60" s="229">
        <f t="shared" si="222"/>
        <v>1.2018470075236183</v>
      </c>
      <c r="DA60" s="229">
        <f t="shared" si="223"/>
        <v>0.83</v>
      </c>
      <c r="DB60" s="229">
        <f t="shared" si="224"/>
        <v>0.54703722398000099</v>
      </c>
      <c r="DC60" s="229">
        <f t="shared" si="225"/>
        <v>0.89</v>
      </c>
      <c r="DD60" s="229">
        <f t="shared" si="226"/>
        <v>0.84792594121302811</v>
      </c>
      <c r="DE60" s="229">
        <f t="shared" si="227"/>
        <v>0.25269432466831898</v>
      </c>
      <c r="DF60" s="229">
        <f t="shared" si="228"/>
        <v>29.801461706292283</v>
      </c>
      <c r="DH60" s="234">
        <f t="shared" si="124"/>
        <v>8.2879999999999995E-2</v>
      </c>
      <c r="DI60" s="234">
        <f t="shared" si="125"/>
        <v>0.112</v>
      </c>
      <c r="DJ60" s="234">
        <f t="shared" si="126"/>
        <v>0.11309802019104893</v>
      </c>
      <c r="DK60" s="234">
        <f t="shared" si="229"/>
        <v>0.10265934006368298</v>
      </c>
      <c r="DL60" s="234">
        <f t="shared" si="230"/>
        <v>1.7138206793626317E-2</v>
      </c>
      <c r="DM60" s="234">
        <f t="shared" si="231"/>
        <v>16.694249917245642</v>
      </c>
      <c r="DO60" s="229">
        <f t="shared" si="127"/>
        <v>2.38</v>
      </c>
      <c r="DP60" s="229">
        <f t="shared" si="128"/>
        <v>3.49</v>
      </c>
      <c r="DQ60" s="229">
        <f t="shared" si="129"/>
        <v>3.8094962060564712</v>
      </c>
      <c r="DR60" s="229">
        <f t="shared" si="130"/>
        <v>2.9836431982367144</v>
      </c>
      <c r="DS60" s="229">
        <f t="shared" si="131"/>
        <v>2.6780137713354475</v>
      </c>
      <c r="DT60" s="229">
        <f t="shared" si="132"/>
        <v>2.38</v>
      </c>
      <c r="DU60" s="229">
        <f t="shared" si="133"/>
        <v>2.5311999999999997</v>
      </c>
      <c r="DV60" s="229">
        <f t="shared" si="134"/>
        <v>3.3952102875015595</v>
      </c>
      <c r="DW60" s="229">
        <f t="shared" si="232"/>
        <v>2.9559454328912738</v>
      </c>
      <c r="DX60" s="229">
        <f t="shared" si="233"/>
        <v>0.55143513493887131</v>
      </c>
      <c r="DY60" s="229">
        <f t="shared" si="234"/>
        <v>18.65511889370369</v>
      </c>
      <c r="EA60" s="235">
        <f t="shared" si="135"/>
        <v>0.14000000000000001</v>
      </c>
      <c r="EB60" s="235">
        <f t="shared" si="136"/>
        <v>0.21494638362763233</v>
      </c>
      <c r="EC60" s="235">
        <f t="shared" si="137"/>
        <v>0.14000000000000001</v>
      </c>
      <c r="ED60" s="235">
        <f t="shared" si="138"/>
        <v>0.16893796622911794</v>
      </c>
      <c r="EE60" s="235">
        <f t="shared" si="139"/>
        <v>0.14030744379942417</v>
      </c>
      <c r="EF60" s="235">
        <f t="shared" si="140"/>
        <v>0.16083835873123489</v>
      </c>
      <c r="EG60" s="235">
        <f t="shared" si="141"/>
        <v>3.2723366486997758E-2</v>
      </c>
      <c r="EH60" s="235">
        <f t="shared" si="235"/>
        <v>20.345498887911038</v>
      </c>
      <c r="EJ60" s="229">
        <f t="shared" si="142"/>
        <v>7.5426305676856105</v>
      </c>
      <c r="EK60" s="229">
        <f t="shared" si="143"/>
        <v>16.788629655479937</v>
      </c>
      <c r="EL60" s="229">
        <f t="shared" si="144"/>
        <v>6.91</v>
      </c>
      <c r="EM60" s="229">
        <f t="shared" si="145"/>
        <v>14.4</v>
      </c>
      <c r="EN60" s="229">
        <f t="shared" si="146"/>
        <v>22.110396425666558</v>
      </c>
      <c r="EO60" s="229">
        <f t="shared" si="236"/>
        <v>22.135284734886294</v>
      </c>
      <c r="EP60" s="229">
        <f t="shared" si="147"/>
        <v>21.017445306599107</v>
      </c>
      <c r="EQ60" s="229">
        <f t="shared" si="148"/>
        <v>15.8434838129025</v>
      </c>
      <c r="ER60" s="229">
        <f t="shared" si="149"/>
        <v>6.5487794523359435</v>
      </c>
      <c r="ES60" s="229">
        <f t="shared" si="237"/>
        <v>41.334213672139434</v>
      </c>
      <c r="EU60" s="238">
        <f t="shared" si="191"/>
        <v>1.6089330117058855E-2</v>
      </c>
      <c r="EV60" s="238">
        <f t="shared" si="151"/>
        <v>1.6089330117058855E-2</v>
      </c>
      <c r="EW60" s="238" t="e">
        <f t="shared" si="152"/>
        <v>#DIV/0!</v>
      </c>
      <c r="EX60" s="238" t="e">
        <f t="shared" si="238"/>
        <v>#DIV/0!</v>
      </c>
      <c r="EZ60" s="240">
        <f t="shared" si="153"/>
        <v>2.7512754500170641E-2</v>
      </c>
      <c r="FA60" s="240">
        <f t="shared" si="154"/>
        <v>2.7512754500170641E-2</v>
      </c>
      <c r="FB60" s="240" t="e">
        <f t="shared" si="155"/>
        <v>#DIV/0!</v>
      </c>
      <c r="FC60" s="240" t="e">
        <f t="shared" si="239"/>
        <v>#DIV/0!</v>
      </c>
      <c r="FE60" s="236">
        <f t="shared" si="156"/>
        <v>0.9</v>
      </c>
      <c r="FF60" s="236">
        <f t="shared" si="157"/>
        <v>1.2</v>
      </c>
      <c r="FG60" s="236">
        <f t="shared" si="158"/>
        <v>1.327613515861968</v>
      </c>
      <c r="FH60" s="236">
        <f t="shared" si="159"/>
        <v>1.3273697346573554</v>
      </c>
      <c r="FI60" s="236">
        <f t="shared" si="160"/>
        <v>0.9</v>
      </c>
      <c r="FJ60" s="236">
        <f t="shared" si="161"/>
        <v>1.1262531081941198</v>
      </c>
      <c r="FK60" s="236">
        <f t="shared" si="240"/>
        <v>1.1302060597855739</v>
      </c>
      <c r="FL60" s="236">
        <f t="shared" si="241"/>
        <v>0.19427799579182214</v>
      </c>
      <c r="FM60" s="236">
        <f t="shared" si="242"/>
        <v>17.189608400142639</v>
      </c>
      <c r="FO60" s="227">
        <f t="shared" si="162"/>
        <v>0.3</v>
      </c>
      <c r="FP60" s="227">
        <f t="shared" si="163"/>
        <v>0.32</v>
      </c>
      <c r="FQ60" s="227">
        <f t="shared" si="164"/>
        <v>0.35479025086163485</v>
      </c>
      <c r="FR60" s="227">
        <f t="shared" si="165"/>
        <v>0.3</v>
      </c>
      <c r="FS60" s="227">
        <f t="shared" si="166"/>
        <v>0.36200992763382417</v>
      </c>
      <c r="FT60" s="227">
        <f t="shared" si="243"/>
        <v>0.32736003569909183</v>
      </c>
      <c r="FU60" s="227">
        <f t="shared" si="244"/>
        <v>2.9598753974428973E-2</v>
      </c>
      <c r="FV60" s="227">
        <f t="shared" si="245"/>
        <v>9.0416516210415008</v>
      </c>
      <c r="FX60" s="230">
        <f t="shared" si="167"/>
        <v>2.94</v>
      </c>
      <c r="FY60" s="230">
        <f t="shared" si="168"/>
        <v>1.6893796622911796</v>
      </c>
      <c r="FZ60" s="230">
        <f t="shared" si="169"/>
        <v>2.94</v>
      </c>
      <c r="GA60" s="230">
        <f t="shared" si="170"/>
        <v>4.0168330502788514</v>
      </c>
      <c r="GB60" s="230">
        <f t="shared" si="246"/>
        <v>2.8965531781425078</v>
      </c>
      <c r="GC60" s="230">
        <f t="shared" si="247"/>
        <v>0.95150234575743675</v>
      </c>
      <c r="GD60" s="230">
        <f t="shared" si="248"/>
        <v>32.849469256684358</v>
      </c>
      <c r="GF60" s="231">
        <f t="shared" si="171"/>
        <v>0.06</v>
      </c>
      <c r="GG60" s="231">
        <f t="shared" si="172"/>
        <v>0.05</v>
      </c>
      <c r="GH60" s="231">
        <f t="shared" si="173"/>
        <v>0.06</v>
      </c>
      <c r="GI60" s="231">
        <f t="shared" si="174"/>
        <v>6.4357320468235418E-2</v>
      </c>
      <c r="GJ60" s="245">
        <f t="shared" si="187"/>
        <v>5.8589330117058851E-2</v>
      </c>
      <c r="GK60" s="231">
        <f t="shared" si="188"/>
        <v>6.0834826535561175E-3</v>
      </c>
      <c r="GL60" s="231">
        <f t="shared" si="249"/>
        <v>10.383260299104959</v>
      </c>
      <c r="GN60" s="246">
        <f t="shared" si="175"/>
        <v>0.18</v>
      </c>
      <c r="GO60" s="246">
        <f t="shared" si="176"/>
        <v>0.18</v>
      </c>
      <c r="GP60" s="246">
        <f t="shared" si="177"/>
        <v>0.16893796622911794</v>
      </c>
      <c r="GQ60" s="247">
        <f t="shared" si="189"/>
        <v>0.17631265540970598</v>
      </c>
      <c r="GR60" s="246">
        <f t="shared" si="190"/>
        <v>6.3866681754034833E-3</v>
      </c>
      <c r="GS60" s="246">
        <f t="shared" si="250"/>
        <v>3.6223538012983147</v>
      </c>
      <c r="GU60" s="249">
        <f t="shared" si="178"/>
        <v>2.2042382260370627E-2</v>
      </c>
      <c r="GV60" s="249">
        <f t="shared" si="179"/>
        <v>2.2042382260370627E-2</v>
      </c>
      <c r="GW60" s="249" t="e">
        <f t="shared" si="180"/>
        <v>#DIV/0!</v>
      </c>
      <c r="GX60" s="249" t="e">
        <f t="shared" si="251"/>
        <v>#DIV/0!</v>
      </c>
      <c r="GZ60" s="240">
        <f t="shared" si="181"/>
        <v>2.4133995175588282E-2</v>
      </c>
      <c r="HA60" s="240">
        <f t="shared" si="182"/>
        <v>2.4133995175588282E-2</v>
      </c>
      <c r="HB60" s="240" t="e">
        <f t="shared" si="183"/>
        <v>#DIV/0!</v>
      </c>
      <c r="HC60" s="240" t="e">
        <f t="shared" si="252"/>
        <v>#DIV/0!</v>
      </c>
      <c r="HE60" s="234">
        <f t="shared" si="184"/>
        <v>9.5301314196500161E-2</v>
      </c>
      <c r="HF60" s="251">
        <f t="shared" si="185"/>
        <v>9.5301314196500161E-2</v>
      </c>
      <c r="HG60" s="234" t="e">
        <f t="shared" si="186"/>
        <v>#DIV/0!</v>
      </c>
      <c r="HH60" s="234" t="e">
        <f t="shared" si="253"/>
        <v>#DIV/0!</v>
      </c>
    </row>
    <row r="61" spans="2:216" ht="15.6" x14ac:dyDescent="0.25">
      <c r="B61">
        <v>57</v>
      </c>
      <c r="C61" s="124">
        <f t="shared" si="52"/>
        <v>80.498004457691422</v>
      </c>
      <c r="D61" s="124">
        <f t="shared" si="53"/>
        <v>174.5547478369574</v>
      </c>
      <c r="E61" s="29">
        <f t="shared" si="201"/>
        <v>2.0137949713527568</v>
      </c>
      <c r="F61" s="29">
        <f t="shared" si="202"/>
        <v>1.9576067557390042</v>
      </c>
      <c r="G61" s="29">
        <f t="shared" si="203"/>
        <v>1.9881882998526914</v>
      </c>
      <c r="H61" s="29">
        <f t="shared" si="204"/>
        <v>2.0137949713527568</v>
      </c>
      <c r="I61" s="29">
        <f t="shared" si="205"/>
        <v>1.9756369485905749</v>
      </c>
      <c r="J61" s="125">
        <f t="shared" si="206"/>
        <v>1.9898043893775568</v>
      </c>
      <c r="K61" s="126">
        <f t="shared" si="207"/>
        <v>2.4449497861638428E-2</v>
      </c>
      <c r="L61" s="126">
        <f t="shared" si="55"/>
        <v>1.22873876407955</v>
      </c>
      <c r="N61" s="138">
        <f t="shared" si="56"/>
        <v>417.85892176928689</v>
      </c>
      <c r="O61" s="138">
        <f t="shared" si="57"/>
        <v>325.79239999999999</v>
      </c>
      <c r="P61" s="138">
        <f t="shared" si="58"/>
        <v>342.49592799268112</v>
      </c>
      <c r="Q61" s="138">
        <f t="shared" si="59"/>
        <v>426.08015923242124</v>
      </c>
      <c r="R61" s="138">
        <f t="shared" si="60"/>
        <v>417.85892176928689</v>
      </c>
      <c r="S61" s="138">
        <f t="shared" si="61"/>
        <v>365.52269999999999</v>
      </c>
      <c r="T61" s="138">
        <f t="shared" si="62"/>
        <v>382.60150512727932</v>
      </c>
      <c r="U61" s="138">
        <f t="shared" si="63"/>
        <v>43.598122772816687</v>
      </c>
      <c r="V61" s="138">
        <f t="shared" si="64"/>
        <v>11.395178060868574</v>
      </c>
      <c r="X61" s="227">
        <f t="shared" si="65"/>
        <v>0.44098482495000008</v>
      </c>
      <c r="Y61" s="227">
        <f t="shared" si="66"/>
        <v>0.47</v>
      </c>
      <c r="Z61" s="227">
        <f t="shared" si="67"/>
        <v>0.44098482495000008</v>
      </c>
      <c r="AA61" s="227">
        <f t="shared" si="68"/>
        <v>0.45065654996666676</v>
      </c>
      <c r="AB61" s="227">
        <f t="shared" si="69"/>
        <v>1.6751919125701554E-2</v>
      </c>
      <c r="AC61" s="227">
        <f t="shared" si="70"/>
        <v>3.7172252632166614</v>
      </c>
      <c r="AE61" s="228">
        <f t="shared" si="71"/>
        <v>4.4455214144560413</v>
      </c>
      <c r="AF61" s="228">
        <f t="shared" si="72"/>
        <v>5.2850000000000001</v>
      </c>
      <c r="AG61" s="228">
        <f t="shared" si="73"/>
        <v>4.4455214144560413</v>
      </c>
      <c r="AH61" s="228">
        <f t="shared" si="74"/>
        <v>7.2184033659426872</v>
      </c>
      <c r="AI61" s="228">
        <f t="shared" si="75"/>
        <v>5.2850000000000001</v>
      </c>
      <c r="AJ61" s="228">
        <f t="shared" si="76"/>
        <v>6.1258981392303085</v>
      </c>
      <c r="AK61" s="228">
        <f t="shared" si="77"/>
        <v>5.4868383175728894</v>
      </c>
      <c r="AL61" s="228">
        <f t="shared" si="78"/>
        <v>5.4703118073797095</v>
      </c>
      <c r="AM61" s="228">
        <f t="shared" si="79"/>
        <v>0.97082115516827894</v>
      </c>
      <c r="AN61" s="228">
        <f t="shared" si="80"/>
        <v>17.747089916494254</v>
      </c>
      <c r="AP61" s="229">
        <f t="shared" si="192"/>
        <v>1.4206573468173707</v>
      </c>
      <c r="AQ61" s="229">
        <f t="shared" si="193"/>
        <v>1.4</v>
      </c>
      <c r="AR61" s="229">
        <f t="shared" si="194"/>
        <v>1.47</v>
      </c>
      <c r="AS61" s="229">
        <f t="shared" si="195"/>
        <v>1.3696247882471129</v>
      </c>
      <c r="AT61" s="229">
        <f t="shared" si="196"/>
        <v>1.4206573468173707</v>
      </c>
      <c r="AU61" s="229">
        <f t="shared" si="197"/>
        <v>1.0606935336776568</v>
      </c>
      <c r="AV61" s="229">
        <f t="shared" si="198"/>
        <v>1.4</v>
      </c>
      <c r="AW61" s="229">
        <f t="shared" si="199"/>
        <v>1.4499999999858977</v>
      </c>
      <c r="AX61" s="229">
        <f t="shared" si="200"/>
        <v>1.3868955167211301</v>
      </c>
      <c r="AY61" s="229">
        <f t="shared" si="90"/>
        <v>1.3753920591407267</v>
      </c>
      <c r="AZ61" s="229">
        <f t="shared" si="91"/>
        <v>0.1219768186136452</v>
      </c>
      <c r="BA61" s="229">
        <f t="shared" si="92"/>
        <v>8.8685126399413683</v>
      </c>
      <c r="BC61" s="230">
        <f t="shared" si="93"/>
        <v>9.65</v>
      </c>
      <c r="BD61" s="230">
        <f t="shared" si="94"/>
        <v>11.73</v>
      </c>
      <c r="BE61" s="230">
        <f t="shared" si="95"/>
        <v>9.65</v>
      </c>
      <c r="BF61" s="230">
        <f t="shared" si="96"/>
        <v>8.8668923076923072</v>
      </c>
      <c r="BG61" s="230">
        <f t="shared" si="97"/>
        <v>9.974223076923078</v>
      </c>
      <c r="BH61" s="230">
        <f t="shared" si="98"/>
        <v>1.2273515176065763</v>
      </c>
      <c r="BI61" s="230">
        <f t="shared" si="99"/>
        <v>12.305234283823525</v>
      </c>
      <c r="BK61" s="227">
        <f t="shared" si="208"/>
        <v>19.600000000000001</v>
      </c>
      <c r="BL61" s="227">
        <f t="shared" si="209"/>
        <v>31.73</v>
      </c>
      <c r="BM61" s="227">
        <f t="shared" si="210"/>
        <v>40.609584147245293</v>
      </c>
      <c r="BN61" s="227">
        <f t="shared" si="211"/>
        <v>22.889487778796607</v>
      </c>
      <c r="BO61" s="227">
        <f t="shared" si="212"/>
        <v>19.600000000000001</v>
      </c>
      <c r="BP61" s="227">
        <f t="shared" si="213"/>
        <v>27.653281333715999</v>
      </c>
      <c r="BQ61" s="227">
        <f t="shared" si="214"/>
        <v>31.86</v>
      </c>
      <c r="BR61" s="227">
        <f t="shared" si="100"/>
        <v>27.706050465679702</v>
      </c>
      <c r="BS61" s="227">
        <f t="shared" si="101"/>
        <v>7.6872927295850744</v>
      </c>
      <c r="BT61" s="227">
        <f t="shared" si="215"/>
        <v>27.745898821297356</v>
      </c>
      <c r="BV61" s="231">
        <f t="shared" si="102"/>
        <v>0.26</v>
      </c>
      <c r="BW61" s="231">
        <f t="shared" si="103"/>
        <v>0.31022011360637769</v>
      </c>
      <c r="BX61" s="231">
        <f t="shared" si="104"/>
        <v>0.32460818414689357</v>
      </c>
      <c r="BY61" s="231">
        <f t="shared" si="105"/>
        <v>0.26</v>
      </c>
      <c r="BZ61" s="231">
        <f t="shared" si="106"/>
        <v>0.33809273963388703</v>
      </c>
      <c r="CA61" s="231">
        <f t="shared" si="107"/>
        <v>0.31422893260510698</v>
      </c>
      <c r="CB61" s="231">
        <f t="shared" si="108"/>
        <v>0.48</v>
      </c>
      <c r="CC61" s="231">
        <f t="shared" si="109"/>
        <v>0.45524429365198105</v>
      </c>
      <c r="CD61" s="231">
        <f t="shared" si="110"/>
        <v>0.3427992829555308</v>
      </c>
      <c r="CE61" s="231">
        <f t="shared" si="111"/>
        <v>8.2297452247036107E-2</v>
      </c>
      <c r="CF61" s="231">
        <f t="shared" si="216"/>
        <v>24.007475026635934</v>
      </c>
      <c r="CH61" s="232">
        <f t="shared" si="112"/>
        <v>1.4821069475215434</v>
      </c>
      <c r="CI61" s="232">
        <f t="shared" si="113"/>
        <v>1.52</v>
      </c>
      <c r="CJ61" s="232">
        <f t="shared" si="114"/>
        <v>2.1</v>
      </c>
      <c r="CK61" s="232">
        <f t="shared" si="115"/>
        <v>1.9883059431792276</v>
      </c>
      <c r="CL61" s="232">
        <f t="shared" si="116"/>
        <v>1.8605807497465028</v>
      </c>
      <c r="CM61" s="232">
        <f t="shared" si="117"/>
        <v>1.5364677590051217</v>
      </c>
      <c r="CN61" s="232">
        <f t="shared" si="118"/>
        <v>1.4850105838360097</v>
      </c>
      <c r="CO61" s="232">
        <f t="shared" si="119"/>
        <v>1.8878675676474035</v>
      </c>
      <c r="CP61" s="232">
        <f t="shared" si="120"/>
        <v>1.52</v>
      </c>
      <c r="CQ61" s="232">
        <f t="shared" si="121"/>
        <v>1.4892748380427248</v>
      </c>
      <c r="CR61" s="232">
        <f t="shared" si="122"/>
        <v>1.6869614388978529</v>
      </c>
      <c r="CS61" s="232">
        <f t="shared" si="123"/>
        <v>0.24316121661401568</v>
      </c>
      <c r="CT61" s="232">
        <f t="shared" si="217"/>
        <v>14.414153815684186</v>
      </c>
      <c r="CV61" s="229">
        <f t="shared" si="218"/>
        <v>0.83</v>
      </c>
      <c r="CW61" s="229">
        <f t="shared" si="219"/>
        <v>1.19</v>
      </c>
      <c r="CX61" s="229">
        <f t="shared" si="220"/>
        <v>0.77458159215205757</v>
      </c>
      <c r="CY61" s="229">
        <f t="shared" si="221"/>
        <v>0.5223646459768102</v>
      </c>
      <c r="CZ61" s="229">
        <f t="shared" si="222"/>
        <v>1.2024261260770523</v>
      </c>
      <c r="DA61" s="229">
        <f t="shared" si="223"/>
        <v>0.83</v>
      </c>
      <c r="DB61" s="229">
        <f t="shared" si="224"/>
        <v>0.54738643031230161</v>
      </c>
      <c r="DC61" s="229">
        <f t="shared" si="225"/>
        <v>0.89</v>
      </c>
      <c r="DD61" s="229">
        <f t="shared" si="226"/>
        <v>0.84834484931477772</v>
      </c>
      <c r="DE61" s="229">
        <f t="shared" si="227"/>
        <v>0.2526403689489703</v>
      </c>
      <c r="DF61" s="229">
        <f t="shared" si="228"/>
        <v>29.780385789226177</v>
      </c>
      <c r="DH61" s="234">
        <f t="shared" si="124"/>
        <v>8.4360000000000004E-2</v>
      </c>
      <c r="DI61" s="234">
        <f t="shared" si="125"/>
        <v>0.114</v>
      </c>
      <c r="DJ61" s="234">
        <f t="shared" si="126"/>
        <v>0.11314344240098247</v>
      </c>
      <c r="DK61" s="234">
        <f t="shared" si="229"/>
        <v>0.10383448080032749</v>
      </c>
      <c r="DL61" s="234">
        <f t="shared" si="230"/>
        <v>1.6870832064893794E-2</v>
      </c>
      <c r="DM61" s="234">
        <f t="shared" si="231"/>
        <v>16.247812802508456</v>
      </c>
      <c r="DO61" s="229">
        <f t="shared" si="127"/>
        <v>2.38</v>
      </c>
      <c r="DP61" s="229">
        <f t="shared" si="128"/>
        <v>3.49</v>
      </c>
      <c r="DQ61" s="229">
        <f t="shared" si="129"/>
        <v>3.8108567510131763</v>
      </c>
      <c r="DR61" s="229">
        <f t="shared" si="130"/>
        <v>2.9847065840663349</v>
      </c>
      <c r="DS61" s="229">
        <f t="shared" si="131"/>
        <v>2.6793788703144519</v>
      </c>
      <c r="DT61" s="229">
        <f t="shared" si="132"/>
        <v>2.38</v>
      </c>
      <c r="DU61" s="229">
        <f t="shared" si="133"/>
        <v>2.5764</v>
      </c>
      <c r="DV61" s="229">
        <f t="shared" si="134"/>
        <v>3.3991599739812868</v>
      </c>
      <c r="DW61" s="229">
        <f t="shared" si="232"/>
        <v>2.9625627724219061</v>
      </c>
      <c r="DX61" s="229">
        <f t="shared" si="233"/>
        <v>0.54732776087802515</v>
      </c>
      <c r="DY61" s="229">
        <f t="shared" si="234"/>
        <v>18.474807216678236</v>
      </c>
      <c r="EA61" s="235">
        <f t="shared" si="135"/>
        <v>0.14000000000000001</v>
      </c>
      <c r="EB61" s="235">
        <f t="shared" si="136"/>
        <v>0.21506057092829256</v>
      </c>
      <c r="EC61" s="235">
        <f t="shared" si="137"/>
        <v>0.14000000000000001</v>
      </c>
      <c r="ED61" s="235">
        <f t="shared" si="138"/>
        <v>0.16904580936115199</v>
      </c>
      <c r="EE61" s="235">
        <f t="shared" si="139"/>
        <v>0.1403592333068128</v>
      </c>
      <c r="EF61" s="235">
        <f t="shared" si="140"/>
        <v>0.16089312271925146</v>
      </c>
      <c r="EG61" s="235">
        <f t="shared" si="141"/>
        <v>3.276913377435331E-2</v>
      </c>
      <c r="EH61" s="235">
        <f t="shared" si="235"/>
        <v>20.367019559644834</v>
      </c>
      <c r="EJ61" s="229">
        <f t="shared" si="142"/>
        <v>7.5426305676856105</v>
      </c>
      <c r="EK61" s="229">
        <f t="shared" si="143"/>
        <v>16.825893351282147</v>
      </c>
      <c r="EL61" s="229">
        <f t="shared" si="144"/>
        <v>6.91</v>
      </c>
      <c r="EM61" s="229">
        <f t="shared" si="145"/>
        <v>14.4</v>
      </c>
      <c r="EN61" s="229">
        <f t="shared" si="146"/>
        <v>22.194384391841055</v>
      </c>
      <c r="EO61" s="229">
        <f t="shared" si="236"/>
        <v>22.233875407247115</v>
      </c>
      <c r="EP61" s="229">
        <f t="shared" si="147"/>
        <v>21.053441282330077</v>
      </c>
      <c r="EQ61" s="229">
        <f t="shared" si="148"/>
        <v>15.880032142912285</v>
      </c>
      <c r="ER61" s="229">
        <f t="shared" si="149"/>
        <v>6.5836340131688313</v>
      </c>
      <c r="ES61" s="229">
        <f t="shared" si="237"/>
        <v>41.458568559052303</v>
      </c>
      <c r="EU61" s="238">
        <f t="shared" si="191"/>
        <v>1.6099600891538286E-2</v>
      </c>
      <c r="EV61" s="238">
        <f t="shared" si="151"/>
        <v>1.6099600891538286E-2</v>
      </c>
      <c r="EW61" s="238" t="e">
        <f t="shared" si="152"/>
        <v>#DIV/0!</v>
      </c>
      <c r="EX61" s="238" t="e">
        <f t="shared" si="238"/>
        <v>#DIV/0!</v>
      </c>
      <c r="EZ61" s="240">
        <f t="shared" si="153"/>
        <v>2.7530317524530466E-2</v>
      </c>
      <c r="FA61" s="240">
        <f t="shared" si="154"/>
        <v>2.7530317524530466E-2</v>
      </c>
      <c r="FB61" s="240" t="e">
        <f t="shared" si="155"/>
        <v>#DIV/0!</v>
      </c>
      <c r="FC61" s="240" t="e">
        <f t="shared" si="239"/>
        <v>#DIV/0!</v>
      </c>
      <c r="FE61" s="236">
        <f t="shared" si="156"/>
        <v>0.9</v>
      </c>
      <c r="FF61" s="236">
        <f t="shared" si="157"/>
        <v>1.2</v>
      </c>
      <c r="FG61" s="236">
        <f t="shared" si="158"/>
        <v>1.3277965130970686</v>
      </c>
      <c r="FH61" s="236">
        <f t="shared" si="159"/>
        <v>1.3282170735519085</v>
      </c>
      <c r="FI61" s="236">
        <f t="shared" si="160"/>
        <v>0.9</v>
      </c>
      <c r="FJ61" s="236">
        <f t="shared" si="161"/>
        <v>1.12697206240768</v>
      </c>
      <c r="FK61" s="236">
        <f t="shared" si="240"/>
        <v>1.1304976081761098</v>
      </c>
      <c r="FL61" s="236">
        <f t="shared" si="241"/>
        <v>0.19448452460981103</v>
      </c>
      <c r="FM61" s="236">
        <f t="shared" si="242"/>
        <v>17.203444147359406</v>
      </c>
      <c r="FO61" s="227">
        <f t="shared" si="162"/>
        <v>0.3</v>
      </c>
      <c r="FP61" s="227">
        <f t="shared" si="163"/>
        <v>0.32</v>
      </c>
      <c r="FQ61" s="227">
        <f t="shared" si="164"/>
        <v>0.35494078710849658</v>
      </c>
      <c r="FR61" s="227">
        <f t="shared" si="165"/>
        <v>0.3</v>
      </c>
      <c r="FS61" s="227">
        <f t="shared" si="166"/>
        <v>0.3622410200596114</v>
      </c>
      <c r="FT61" s="227">
        <f t="shared" si="243"/>
        <v>0.32743636143362159</v>
      </c>
      <c r="FU61" s="227">
        <f t="shared" si="244"/>
        <v>2.9701283737325654E-2</v>
      </c>
      <c r="FV61" s="227">
        <f t="shared" si="245"/>
        <v>9.0708568856812022</v>
      </c>
      <c r="FX61" s="230">
        <f t="shared" si="167"/>
        <v>2.94</v>
      </c>
      <c r="FY61" s="230">
        <f t="shared" si="168"/>
        <v>1.6904580936115199</v>
      </c>
      <c r="FZ61" s="230">
        <f t="shared" si="169"/>
        <v>2.94</v>
      </c>
      <c r="GA61" s="230">
        <f t="shared" si="170"/>
        <v>4.0199803066070103</v>
      </c>
      <c r="GB61" s="230">
        <f t="shared" si="246"/>
        <v>2.8976096000546323</v>
      </c>
      <c r="GC61" s="230">
        <f t="shared" si="247"/>
        <v>0.95228228560824879</v>
      </c>
      <c r="GD61" s="230">
        <f t="shared" si="248"/>
        <v>32.864409532267366</v>
      </c>
      <c r="GF61" s="231">
        <f t="shared" si="171"/>
        <v>0.06</v>
      </c>
      <c r="GG61" s="231">
        <f t="shared" si="172"/>
        <v>0.05</v>
      </c>
      <c r="GH61" s="231">
        <f t="shared" si="173"/>
        <v>0.06</v>
      </c>
      <c r="GI61" s="231">
        <f t="shared" si="174"/>
        <v>6.4398403566153145E-2</v>
      </c>
      <c r="GJ61" s="245">
        <f t="shared" si="187"/>
        <v>5.8599600891538282E-2</v>
      </c>
      <c r="GK61" s="231">
        <f t="shared" si="188"/>
        <v>6.0964876029515874E-3</v>
      </c>
      <c r="GL61" s="231">
        <f t="shared" si="249"/>
        <v>10.403633318656123</v>
      </c>
      <c r="GN61" s="246">
        <f t="shared" si="175"/>
        <v>0.18</v>
      </c>
      <c r="GO61" s="246">
        <f t="shared" si="176"/>
        <v>0.18</v>
      </c>
      <c r="GP61" s="246">
        <f t="shared" si="177"/>
        <v>0.16904580936115199</v>
      </c>
      <c r="GQ61" s="247">
        <f t="shared" si="189"/>
        <v>0.176348603120384</v>
      </c>
      <c r="GR61" s="246">
        <f t="shared" si="190"/>
        <v>6.3244049140933744E-3</v>
      </c>
      <c r="GS61" s="246">
        <f t="shared" si="250"/>
        <v>3.5863084834168104</v>
      </c>
      <c r="GU61" s="249">
        <f t="shared" si="178"/>
        <v>2.2056453221407448E-2</v>
      </c>
      <c r="GV61" s="249">
        <f t="shared" si="179"/>
        <v>2.2056453221407448E-2</v>
      </c>
      <c r="GW61" s="249" t="e">
        <f t="shared" si="180"/>
        <v>#DIV/0!</v>
      </c>
      <c r="GX61" s="249" t="e">
        <f t="shared" si="251"/>
        <v>#DIV/0!</v>
      </c>
      <c r="GZ61" s="240">
        <f t="shared" si="181"/>
        <v>2.4149401337307429E-2</v>
      </c>
      <c r="HA61" s="240">
        <f t="shared" si="182"/>
        <v>2.4149401337307429E-2</v>
      </c>
      <c r="HB61" s="240" t="e">
        <f t="shared" si="183"/>
        <v>#DIV/0!</v>
      </c>
      <c r="HC61" s="240" t="e">
        <f t="shared" si="252"/>
        <v>#DIV/0!</v>
      </c>
      <c r="HE61" s="234">
        <f t="shared" si="184"/>
        <v>9.5362425304652776E-2</v>
      </c>
      <c r="HF61" s="251">
        <f t="shared" si="185"/>
        <v>9.5362425304652776E-2</v>
      </c>
      <c r="HG61" s="234" t="e">
        <f t="shared" si="186"/>
        <v>#DIV/0!</v>
      </c>
      <c r="HH61" s="234" t="e">
        <f t="shared" si="253"/>
        <v>#DIV/0!</v>
      </c>
    </row>
    <row r="62" spans="2:216" ht="15.6" x14ac:dyDescent="0.25">
      <c r="B62">
        <v>58</v>
      </c>
      <c r="C62" s="124">
        <f t="shared" si="52"/>
        <v>80.560788183320255</v>
      </c>
      <c r="D62" s="124">
        <f t="shared" si="53"/>
        <v>174.51561776071117</v>
      </c>
      <c r="E62" s="29">
        <f t="shared" si="201"/>
        <v>2.0144218608963111</v>
      </c>
      <c r="F62" s="29">
        <f t="shared" si="202"/>
        <v>1.9579372351862987</v>
      </c>
      <c r="G62" s="29">
        <f t="shared" si="203"/>
        <v>1.9887985736122864</v>
      </c>
      <c r="H62" s="29">
        <f t="shared" si="204"/>
        <v>2.0144218608963111</v>
      </c>
      <c r="I62" s="29">
        <f t="shared" si="205"/>
        <v>1.9761857001347833</v>
      </c>
      <c r="J62" s="125">
        <f t="shared" si="206"/>
        <v>1.9903530461451981</v>
      </c>
      <c r="K62" s="126">
        <f t="shared" si="207"/>
        <v>2.4558758951768553E-2</v>
      </c>
      <c r="L62" s="126">
        <f t="shared" si="55"/>
        <v>1.233889585535217</v>
      </c>
      <c r="N62" s="138">
        <f t="shared" si="56"/>
        <v>417.9741396904916</v>
      </c>
      <c r="O62" s="138">
        <f t="shared" si="57"/>
        <v>325.79239999999999</v>
      </c>
      <c r="P62" s="138">
        <f t="shared" si="58"/>
        <v>341.01423676587513</v>
      </c>
      <c r="Q62" s="138">
        <f t="shared" si="59"/>
        <v>426.33299608841173</v>
      </c>
      <c r="R62" s="138">
        <f t="shared" si="60"/>
        <v>417.9741396904916</v>
      </c>
      <c r="S62" s="138">
        <f t="shared" si="61"/>
        <v>362.98920000000004</v>
      </c>
      <c r="T62" s="138">
        <f t="shared" si="62"/>
        <v>382.01285203921162</v>
      </c>
      <c r="U62" s="138">
        <f t="shared" si="63"/>
        <v>44.168379201305655</v>
      </c>
      <c r="V62" s="138">
        <f t="shared" si="64"/>
        <v>11.562013938937321</v>
      </c>
      <c r="X62" s="227">
        <f t="shared" si="65"/>
        <v>0.44050595479999999</v>
      </c>
      <c r="Y62" s="227">
        <f t="shared" si="66"/>
        <v>0.47</v>
      </c>
      <c r="Z62" s="227">
        <f t="shared" si="67"/>
        <v>0.44050595479999999</v>
      </c>
      <c r="AA62" s="227">
        <f t="shared" si="68"/>
        <v>0.45033730319999998</v>
      </c>
      <c r="AB62" s="227">
        <f t="shared" si="69"/>
        <v>1.7028394935710983E-2</v>
      </c>
      <c r="AC62" s="227">
        <f t="shared" si="70"/>
        <v>3.7812534770517283</v>
      </c>
      <c r="AE62" s="228">
        <f t="shared" si="71"/>
        <v>4.4470024461718101</v>
      </c>
      <c r="AF62" s="228">
        <f t="shared" si="72"/>
        <v>5.2850000000000001</v>
      </c>
      <c r="AG62" s="228">
        <f t="shared" si="73"/>
        <v>4.4470024461718101</v>
      </c>
      <c r="AH62" s="228">
        <f t="shared" si="74"/>
        <v>7.2240315277755585</v>
      </c>
      <c r="AI62" s="228">
        <f t="shared" si="75"/>
        <v>5.2850000000000001</v>
      </c>
      <c r="AJ62" s="228">
        <f t="shared" si="76"/>
        <v>6.1306759807506674</v>
      </c>
      <c r="AK62" s="228">
        <f t="shared" si="77"/>
        <v>5.488561927984442</v>
      </c>
      <c r="AL62" s="228">
        <f t="shared" si="78"/>
        <v>5.4724677612648991</v>
      </c>
      <c r="AM62" s="228">
        <f t="shared" si="79"/>
        <v>0.97253271226038984</v>
      </c>
      <c r="AN62" s="228">
        <f t="shared" si="80"/>
        <v>17.771373988608019</v>
      </c>
      <c r="AP62" s="229">
        <f t="shared" si="192"/>
        <v>1.4210693050004872</v>
      </c>
      <c r="AQ62" s="229">
        <f t="shared" si="193"/>
        <v>1.4</v>
      </c>
      <c r="AR62" s="229">
        <f t="shared" si="194"/>
        <v>1.47</v>
      </c>
      <c r="AS62" s="229">
        <f t="shared" si="195"/>
        <v>1.367491698291704</v>
      </c>
      <c r="AT62" s="229">
        <f t="shared" si="196"/>
        <v>1.4210693050004872</v>
      </c>
      <c r="AU62" s="229">
        <f t="shared" si="197"/>
        <v>1.0787078438870525</v>
      </c>
      <c r="AV62" s="229">
        <f t="shared" si="198"/>
        <v>1.4</v>
      </c>
      <c r="AW62" s="229">
        <f t="shared" si="199"/>
        <v>1.4499999999909177</v>
      </c>
      <c r="AX62" s="229">
        <f t="shared" si="200"/>
        <v>1.384692347182078</v>
      </c>
      <c r="AY62" s="229">
        <f t="shared" si="90"/>
        <v>1.3770033888169695</v>
      </c>
      <c r="AZ62" s="229">
        <f t="shared" si="91"/>
        <v>0.11621531610916534</v>
      </c>
      <c r="BA62" s="229">
        <f t="shared" si="92"/>
        <v>8.4397262238410242</v>
      </c>
      <c r="BC62" s="230">
        <f t="shared" si="93"/>
        <v>9.65</v>
      </c>
      <c r="BD62" s="230">
        <f t="shared" si="94"/>
        <v>11.73</v>
      </c>
      <c r="BE62" s="230">
        <f t="shared" si="95"/>
        <v>9.65</v>
      </c>
      <c r="BF62" s="230">
        <f t="shared" si="96"/>
        <v>8.8610461538461536</v>
      </c>
      <c r="BG62" s="230">
        <f t="shared" si="97"/>
        <v>9.9727615384615387</v>
      </c>
      <c r="BH62" s="230">
        <f t="shared" si="98"/>
        <v>1.2291118919123003</v>
      </c>
      <c r="BI62" s="230">
        <f t="shared" si="99"/>
        <v>12.324689477152694</v>
      </c>
      <c r="BK62" s="227">
        <f t="shared" si="208"/>
        <v>19.600000000000001</v>
      </c>
      <c r="BL62" s="227">
        <f t="shared" si="209"/>
        <v>31.73</v>
      </c>
      <c r="BM62" s="227">
        <f t="shared" si="210"/>
        <v>40.616876271968366</v>
      </c>
      <c r="BN62" s="227">
        <f t="shared" si="211"/>
        <v>22.895196154015153</v>
      </c>
      <c r="BO62" s="227">
        <f t="shared" si="212"/>
        <v>19.600000000000001</v>
      </c>
      <c r="BP62" s="227">
        <f t="shared" si="213"/>
        <v>27.406450850707593</v>
      </c>
      <c r="BQ62" s="227">
        <f t="shared" si="214"/>
        <v>31.86</v>
      </c>
      <c r="BR62" s="227">
        <f t="shared" si="100"/>
        <v>27.672646182384444</v>
      </c>
      <c r="BS62" s="227">
        <f t="shared" si="101"/>
        <v>7.6895954174825798</v>
      </c>
      <c r="BT62" s="227">
        <f t="shared" si="215"/>
        <v>27.787712699400391</v>
      </c>
      <c r="BV62" s="231">
        <f t="shared" si="102"/>
        <v>0.26</v>
      </c>
      <c r="BW62" s="231">
        <f t="shared" si="103"/>
        <v>0.3099437194298042</v>
      </c>
      <c r="BX62" s="231">
        <f t="shared" si="104"/>
        <v>0.32479425412661711</v>
      </c>
      <c r="BY62" s="231">
        <f t="shared" si="105"/>
        <v>0.26</v>
      </c>
      <c r="BZ62" s="231">
        <f t="shared" si="106"/>
        <v>0.33835621242646979</v>
      </c>
      <c r="CA62" s="231">
        <f t="shared" si="107"/>
        <v>0.31427430361162906</v>
      </c>
      <c r="CB62" s="231">
        <f t="shared" si="108"/>
        <v>0.48</v>
      </c>
      <c r="CC62" s="231">
        <f t="shared" si="109"/>
        <v>0.45508927615209421</v>
      </c>
      <c r="CD62" s="231">
        <f t="shared" si="110"/>
        <v>0.34280722071832681</v>
      </c>
      <c r="CE62" s="231">
        <f t="shared" si="111"/>
        <v>8.2272722246940433E-2</v>
      </c>
      <c r="CF62" s="231">
        <f t="shared" si="216"/>
        <v>23.999705162144519</v>
      </c>
      <c r="CH62" s="232">
        <f t="shared" si="112"/>
        <v>1.4825941074900029</v>
      </c>
      <c r="CI62" s="232">
        <f t="shared" si="113"/>
        <v>1.52</v>
      </c>
      <c r="CJ62" s="232">
        <f t="shared" si="114"/>
        <v>2.1</v>
      </c>
      <c r="CK62" s="232">
        <f t="shared" si="115"/>
        <v>1.9898556794581834</v>
      </c>
      <c r="CL62" s="232">
        <f t="shared" si="116"/>
        <v>1.857769150621289</v>
      </c>
      <c r="CM62" s="232">
        <f t="shared" si="117"/>
        <v>1.5374023955836837</v>
      </c>
      <c r="CN62" s="232">
        <f t="shared" si="118"/>
        <v>1.4854986982129061</v>
      </c>
      <c r="CO62" s="232">
        <f t="shared" si="119"/>
        <v>1.8892658481900468</v>
      </c>
      <c r="CP62" s="232">
        <f t="shared" si="120"/>
        <v>1.52</v>
      </c>
      <c r="CQ62" s="232">
        <f t="shared" si="121"/>
        <v>1.4895920130410409</v>
      </c>
      <c r="CR62" s="232">
        <f t="shared" si="122"/>
        <v>1.6871977892597152</v>
      </c>
      <c r="CS62" s="232">
        <f t="shared" si="123"/>
        <v>0.24309935042628036</v>
      </c>
      <c r="CT62" s="232">
        <f t="shared" si="217"/>
        <v>14.408467814134823</v>
      </c>
      <c r="CV62" s="229">
        <f t="shared" si="218"/>
        <v>0.83</v>
      </c>
      <c r="CW62" s="229">
        <f t="shared" si="219"/>
        <v>1.19</v>
      </c>
      <c r="CX62" s="229">
        <f t="shared" si="220"/>
        <v>0.77709677549223888</v>
      </c>
      <c r="CY62" s="229">
        <f t="shared" si="221"/>
        <v>0.52220492505871907</v>
      </c>
      <c r="CZ62" s="229">
        <f t="shared" si="222"/>
        <v>1.2031338132410974</v>
      </c>
      <c r="DA62" s="229">
        <f t="shared" si="223"/>
        <v>0.83</v>
      </c>
      <c r="DB62" s="229">
        <f t="shared" si="224"/>
        <v>0.54781335964657774</v>
      </c>
      <c r="DC62" s="229">
        <f t="shared" si="225"/>
        <v>0.89</v>
      </c>
      <c r="DD62" s="229">
        <f t="shared" si="226"/>
        <v>0.84878110917982919</v>
      </c>
      <c r="DE62" s="229">
        <f t="shared" si="227"/>
        <v>0.25263549728046186</v>
      </c>
      <c r="DF62" s="229">
        <f t="shared" si="228"/>
        <v>29.764505188455669</v>
      </c>
      <c r="DH62" s="234">
        <f t="shared" si="124"/>
        <v>8.584E-2</v>
      </c>
      <c r="DI62" s="234">
        <f t="shared" si="125"/>
        <v>0.11600000000000001</v>
      </c>
      <c r="DJ62" s="234">
        <f t="shared" si="126"/>
        <v>0.1131623083017699</v>
      </c>
      <c r="DK62" s="234">
        <f t="shared" si="229"/>
        <v>0.10500076943392329</v>
      </c>
      <c r="DL62" s="234">
        <f t="shared" si="230"/>
        <v>1.6654261842499369E-2</v>
      </c>
      <c r="DM62" s="234">
        <f t="shared" si="231"/>
        <v>15.861085525644505</v>
      </c>
      <c r="DO62" s="229">
        <f t="shared" si="127"/>
        <v>2.38</v>
      </c>
      <c r="DP62" s="229">
        <f t="shared" si="128"/>
        <v>3.49</v>
      </c>
      <c r="DQ62" s="229">
        <f t="shared" si="129"/>
        <v>3.811909716959804</v>
      </c>
      <c r="DR62" s="229">
        <f t="shared" si="130"/>
        <v>2.985529569217797</v>
      </c>
      <c r="DS62" s="229">
        <f t="shared" si="131"/>
        <v>2.6810485135273678</v>
      </c>
      <c r="DT62" s="229">
        <f t="shared" si="132"/>
        <v>2.38</v>
      </c>
      <c r="DU62" s="229">
        <f t="shared" si="133"/>
        <v>2.6215999999999999</v>
      </c>
      <c r="DV62" s="229">
        <f t="shared" si="134"/>
        <v>3.4022199047166271</v>
      </c>
      <c r="DW62" s="229">
        <f t="shared" si="232"/>
        <v>2.9690384630526996</v>
      </c>
      <c r="DX62" s="229">
        <f t="shared" si="233"/>
        <v>0.5434460559604799</v>
      </c>
      <c r="DY62" s="229">
        <f t="shared" si="234"/>
        <v>18.303772845088734</v>
      </c>
      <c r="EA62" s="235">
        <f t="shared" si="135"/>
        <v>0.14000000000000001</v>
      </c>
      <c r="EB62" s="235">
        <f t="shared" si="136"/>
        <v>0.2152001330305211</v>
      </c>
      <c r="EC62" s="235">
        <f t="shared" si="137"/>
        <v>0.14000000000000001</v>
      </c>
      <c r="ED62" s="235">
        <f t="shared" si="138"/>
        <v>0.16917765518497252</v>
      </c>
      <c r="EE62" s="235">
        <f t="shared" si="139"/>
        <v>0.14038074383458446</v>
      </c>
      <c r="EF62" s="235">
        <f t="shared" si="140"/>
        <v>0.1609517064100156</v>
      </c>
      <c r="EG62" s="235">
        <f t="shared" si="141"/>
        <v>3.2831655944801905E-2</v>
      </c>
      <c r="EH62" s="235">
        <f t="shared" si="235"/>
        <v>20.398451608313533</v>
      </c>
      <c r="EJ62" s="229">
        <f t="shared" si="142"/>
        <v>7.5426305676856105</v>
      </c>
      <c r="EK62" s="229">
        <f t="shared" si="143"/>
        <v>16.86836070224615</v>
      </c>
      <c r="EL62" s="229">
        <f t="shared" si="144"/>
        <v>6.91</v>
      </c>
      <c r="EM62" s="229">
        <f t="shared" si="145"/>
        <v>14.4</v>
      </c>
      <c r="EN62" s="229">
        <f t="shared" si="146"/>
        <v>22.274694709387642</v>
      </c>
      <c r="EO62" s="229">
        <f t="shared" si="236"/>
        <v>22.344683115932391</v>
      </c>
      <c r="EP62" s="229">
        <f t="shared" si="147"/>
        <v>21.097480685655864</v>
      </c>
      <c r="EQ62" s="229">
        <f t="shared" si="148"/>
        <v>15.919692825843951</v>
      </c>
      <c r="ER62" s="229">
        <f t="shared" si="149"/>
        <v>6.621117858873407</v>
      </c>
      <c r="ES62" s="229">
        <f t="shared" si="237"/>
        <v>41.590738786898683</v>
      </c>
      <c r="EU62" s="238">
        <f t="shared" si="191"/>
        <v>1.6112157636664053E-2</v>
      </c>
      <c r="EV62" s="238">
        <f t="shared" si="151"/>
        <v>1.6112157636664053E-2</v>
      </c>
      <c r="EW62" s="238" t="e">
        <f t="shared" si="152"/>
        <v>#DIV/0!</v>
      </c>
      <c r="EX62" s="238" t="e">
        <f t="shared" si="238"/>
        <v>#DIV/0!</v>
      </c>
      <c r="EZ62" s="240">
        <f t="shared" si="153"/>
        <v>2.7551789558695527E-2</v>
      </c>
      <c r="FA62" s="240">
        <f t="shared" si="154"/>
        <v>2.7551789558695527E-2</v>
      </c>
      <c r="FB62" s="240" t="e">
        <f t="shared" si="155"/>
        <v>#DIV/0!</v>
      </c>
      <c r="FC62" s="240" t="e">
        <f t="shared" si="239"/>
        <v>#DIV/0!</v>
      </c>
      <c r="FE62" s="236">
        <f t="shared" si="156"/>
        <v>0.9</v>
      </c>
      <c r="FF62" s="236">
        <f t="shared" si="157"/>
        <v>1.2</v>
      </c>
      <c r="FG62" s="236">
        <f t="shared" si="158"/>
        <v>1.3281432846034482</v>
      </c>
      <c r="FH62" s="236">
        <f t="shared" si="159"/>
        <v>1.3292530050247844</v>
      </c>
      <c r="FI62" s="236">
        <f t="shared" si="160"/>
        <v>0.9</v>
      </c>
      <c r="FJ62" s="236">
        <f t="shared" si="161"/>
        <v>1.1278510345664836</v>
      </c>
      <c r="FK62" s="236">
        <f t="shared" si="240"/>
        <v>1.1308745540324527</v>
      </c>
      <c r="FL62" s="236">
        <f t="shared" si="241"/>
        <v>0.19476270188552569</v>
      </c>
      <c r="FM62" s="236">
        <f t="shared" si="242"/>
        <v>17.222308273808466</v>
      </c>
      <c r="FO62" s="227">
        <f t="shared" si="162"/>
        <v>0.3</v>
      </c>
      <c r="FP62" s="227">
        <f t="shared" si="163"/>
        <v>0.32</v>
      </c>
      <c r="FQ62" s="227">
        <f t="shared" si="164"/>
        <v>0.35501708934135873</v>
      </c>
      <c r="FR62" s="227">
        <f t="shared" si="165"/>
        <v>0.3</v>
      </c>
      <c r="FS62" s="227">
        <f t="shared" si="166"/>
        <v>0.36252354682494115</v>
      </c>
      <c r="FT62" s="227">
        <f t="shared" si="243"/>
        <v>0.32750812723326</v>
      </c>
      <c r="FU62" s="227">
        <f t="shared" si="244"/>
        <v>2.9801798216548787E-2</v>
      </c>
      <c r="FV62" s="227">
        <f t="shared" si="245"/>
        <v>9.0995599004855077</v>
      </c>
      <c r="FX62" s="230">
        <f t="shared" si="167"/>
        <v>2.94</v>
      </c>
      <c r="FY62" s="230">
        <f t="shared" si="168"/>
        <v>1.6917765518497254</v>
      </c>
      <c r="FZ62" s="230">
        <f t="shared" si="169"/>
        <v>2.94</v>
      </c>
      <c r="GA62" s="230">
        <f t="shared" si="170"/>
        <v>4.0236373556026148</v>
      </c>
      <c r="GB62" s="230">
        <f t="shared" si="246"/>
        <v>2.8988534768630849</v>
      </c>
      <c r="GC62" s="230">
        <f t="shared" si="247"/>
        <v>0.95316307620199658</v>
      </c>
      <c r="GD62" s="230">
        <f t="shared" si="248"/>
        <v>32.880691756571153</v>
      </c>
      <c r="GF62" s="231">
        <f t="shared" si="171"/>
        <v>0.06</v>
      </c>
      <c r="GG62" s="231">
        <f t="shared" si="172"/>
        <v>0.05</v>
      </c>
      <c r="GH62" s="231">
        <f t="shared" si="173"/>
        <v>0.06</v>
      </c>
      <c r="GI62" s="231">
        <f t="shared" si="174"/>
        <v>6.4448630546656213E-2</v>
      </c>
      <c r="GJ62" s="245">
        <f t="shared" si="187"/>
        <v>5.8612157636664053E-2</v>
      </c>
      <c r="GK62" s="231">
        <f t="shared" si="188"/>
        <v>6.1124432659606489E-3</v>
      </c>
      <c r="GL62" s="231">
        <f t="shared" si="249"/>
        <v>10.428626947759883</v>
      </c>
      <c r="GN62" s="246">
        <f t="shared" si="175"/>
        <v>0.18</v>
      </c>
      <c r="GO62" s="246">
        <f t="shared" si="176"/>
        <v>0.18</v>
      </c>
      <c r="GP62" s="246">
        <f t="shared" si="177"/>
        <v>0.16917765518497252</v>
      </c>
      <c r="GQ62" s="247">
        <f t="shared" si="189"/>
        <v>0.17639255172832416</v>
      </c>
      <c r="GR62" s="246">
        <f t="shared" si="190"/>
        <v>6.2482836922190628E-3</v>
      </c>
      <c r="GS62" s="246">
        <f t="shared" si="250"/>
        <v>3.5422605041977784</v>
      </c>
      <c r="GU62" s="249">
        <f t="shared" si="178"/>
        <v>2.2073655962229748E-2</v>
      </c>
      <c r="GV62" s="249">
        <f t="shared" si="179"/>
        <v>2.2073655962229748E-2</v>
      </c>
      <c r="GW62" s="249" t="e">
        <f t="shared" si="180"/>
        <v>#DIV/0!</v>
      </c>
      <c r="GX62" s="249" t="e">
        <f t="shared" si="251"/>
        <v>#DIV/0!</v>
      </c>
      <c r="GZ62" s="240">
        <f t="shared" si="181"/>
        <v>2.4168236454996078E-2</v>
      </c>
      <c r="HA62" s="240">
        <f t="shared" si="182"/>
        <v>2.4168236454996078E-2</v>
      </c>
      <c r="HB62" s="240" t="e">
        <f t="shared" si="183"/>
        <v>#DIV/0!</v>
      </c>
      <c r="HC62" s="240" t="e">
        <f t="shared" si="252"/>
        <v>#DIV/0!</v>
      </c>
      <c r="HE62" s="234">
        <f t="shared" si="184"/>
        <v>9.543713793815109E-2</v>
      </c>
      <c r="HF62" s="251">
        <f t="shared" si="185"/>
        <v>9.543713793815109E-2</v>
      </c>
      <c r="HG62" s="234" t="e">
        <f t="shared" si="186"/>
        <v>#DIV/0!</v>
      </c>
      <c r="HH62" s="234" t="e">
        <f t="shared" si="253"/>
        <v>#DIV/0!</v>
      </c>
    </row>
    <row r="63" spans="2:216" ht="15.6" x14ac:dyDescent="0.25">
      <c r="B63">
        <v>59</v>
      </c>
      <c r="C63" s="124">
        <f t="shared" si="52"/>
        <v>80.636418526490161</v>
      </c>
      <c r="D63" s="124">
        <f t="shared" si="53"/>
        <v>174.41477399172879</v>
      </c>
      <c r="E63" s="29">
        <f t="shared" si="201"/>
        <v>2.0149158158584632</v>
      </c>
      <c r="F63" s="29">
        <f t="shared" si="202"/>
        <v>1.9578975681124955</v>
      </c>
      <c r="G63" s="29">
        <f t="shared" si="203"/>
        <v>1.989274612545632</v>
      </c>
      <c r="H63" s="29">
        <f t="shared" si="204"/>
        <v>2.0149158158584632</v>
      </c>
      <c r="I63" s="29">
        <f t="shared" si="205"/>
        <v>1.9765417830701904</v>
      </c>
      <c r="J63" s="125">
        <f t="shared" si="206"/>
        <v>1.9907091190890491</v>
      </c>
      <c r="K63" s="126">
        <f t="shared" si="207"/>
        <v>2.475528950221581E-2</v>
      </c>
      <c r="L63" s="126">
        <f t="shared" si="55"/>
        <v>1.2435412720439971</v>
      </c>
      <c r="N63" s="138">
        <f t="shared" si="56"/>
        <v>418.04891500870025</v>
      </c>
      <c r="O63" s="138">
        <f t="shared" si="57"/>
        <v>325.79239999999999</v>
      </c>
      <c r="P63" s="138">
        <f t="shared" si="58"/>
        <v>339.49120054219821</v>
      </c>
      <c r="Q63" s="138">
        <f t="shared" si="59"/>
        <v>426.63750511330022</v>
      </c>
      <c r="R63" s="138">
        <f t="shared" si="60"/>
        <v>418.04891500870025</v>
      </c>
      <c r="S63" s="138">
        <f t="shared" si="61"/>
        <v>360.34830000000005</v>
      </c>
      <c r="T63" s="138">
        <f t="shared" si="62"/>
        <v>381.39453927881647</v>
      </c>
      <c r="U63" s="138">
        <f t="shared" si="63"/>
        <v>44.775985427979634</v>
      </c>
      <c r="V63" s="138">
        <f t="shared" si="64"/>
        <v>11.74006987951298</v>
      </c>
      <c r="X63" s="227">
        <f t="shared" si="65"/>
        <v>0.44007495685000003</v>
      </c>
      <c r="Y63" s="227">
        <f t="shared" si="66"/>
        <v>0.47</v>
      </c>
      <c r="Z63" s="227">
        <f t="shared" si="67"/>
        <v>0.44007495685000003</v>
      </c>
      <c r="AA63" s="227">
        <f t="shared" si="68"/>
        <v>0.45004997123333329</v>
      </c>
      <c r="AB63" s="227">
        <f t="shared" si="69"/>
        <v>1.7277231718163633E-2</v>
      </c>
      <c r="AC63" s="227">
        <f t="shared" si="70"/>
        <v>3.838958520720817</v>
      </c>
      <c r="AE63" s="228">
        <f t="shared" si="71"/>
        <v>4.4479636669378335</v>
      </c>
      <c r="AF63" s="228">
        <f t="shared" si="72"/>
        <v>5.2850000000000001</v>
      </c>
      <c r="AG63" s="228">
        <f t="shared" si="73"/>
        <v>4.4479636669378335</v>
      </c>
      <c r="AH63" s="228">
        <f t="shared" si="74"/>
        <v>7.2308113035318167</v>
      </c>
      <c r="AI63" s="228">
        <f t="shared" si="75"/>
        <v>5.2850000000000001</v>
      </c>
      <c r="AJ63" s="228">
        <f t="shared" si="76"/>
        <v>6.1364314498658992</v>
      </c>
      <c r="AK63" s="228">
        <f t="shared" si="77"/>
        <v>5.4896805344967294</v>
      </c>
      <c r="AL63" s="228">
        <f t="shared" si="78"/>
        <v>5.4746929459671589</v>
      </c>
      <c r="AM63" s="228">
        <f t="shared" si="79"/>
        <v>0.9748834984635516</v>
      </c>
      <c r="AN63" s="228">
        <f t="shared" si="80"/>
        <v>17.80708996988924</v>
      </c>
      <c r="AP63" s="229">
        <f t="shared" si="192"/>
        <v>1.4214675996932515</v>
      </c>
      <c r="AQ63" s="229">
        <f t="shared" si="193"/>
        <v>1.4</v>
      </c>
      <c r="AR63" s="229">
        <f t="shared" si="194"/>
        <v>1.47</v>
      </c>
      <c r="AS63" s="229">
        <f t="shared" si="195"/>
        <v>1.364784206196924</v>
      </c>
      <c r="AT63" s="229">
        <f t="shared" si="196"/>
        <v>1.4214675996932515</v>
      </c>
      <c r="AU63" s="229">
        <f t="shared" si="197"/>
        <v>1.0965804172782063</v>
      </c>
      <c r="AV63" s="229">
        <f t="shared" si="198"/>
        <v>1.4</v>
      </c>
      <c r="AW63" s="229">
        <f t="shared" si="199"/>
        <v>1.4499999999941506</v>
      </c>
      <c r="AX63" s="229">
        <f t="shared" si="200"/>
        <v>1.3824926775144721</v>
      </c>
      <c r="AY63" s="229">
        <f t="shared" si="90"/>
        <v>1.3785325000411397</v>
      </c>
      <c r="AZ63" s="229">
        <f t="shared" si="91"/>
        <v>0.1105577537619489</v>
      </c>
      <c r="BA63" s="229">
        <f t="shared" si="92"/>
        <v>8.0199599036402489</v>
      </c>
      <c r="BC63" s="230">
        <f t="shared" si="93"/>
        <v>9.65</v>
      </c>
      <c r="BD63" s="230">
        <f t="shared" si="94"/>
        <v>11.73</v>
      </c>
      <c r="BE63" s="230">
        <f t="shared" si="95"/>
        <v>9.65</v>
      </c>
      <c r="BF63" s="230">
        <f t="shared" si="96"/>
        <v>8.8552</v>
      </c>
      <c r="BG63" s="230">
        <f t="shared" si="97"/>
        <v>9.9712999999999994</v>
      </c>
      <c r="BH63" s="230">
        <f t="shared" si="98"/>
        <v>1.2308766902767625</v>
      </c>
      <c r="BI63" s="230">
        <f t="shared" si="99"/>
        <v>12.344194741676237</v>
      </c>
      <c r="BK63" s="227">
        <f t="shared" si="208"/>
        <v>19.600000000000001</v>
      </c>
      <c r="BL63" s="227">
        <f t="shared" si="209"/>
        <v>31.73</v>
      </c>
      <c r="BM63" s="227">
        <f t="shared" si="210"/>
        <v>40.620063276584638</v>
      </c>
      <c r="BN63" s="227">
        <f t="shared" si="211"/>
        <v>22.902059062163211</v>
      </c>
      <c r="BO63" s="227">
        <f t="shared" si="212"/>
        <v>19.600000000000001</v>
      </c>
      <c r="BP63" s="227">
        <f t="shared" si="213"/>
        <v>27.155345290925844</v>
      </c>
      <c r="BQ63" s="227">
        <f t="shared" si="214"/>
        <v>31.86</v>
      </c>
      <c r="BR63" s="227">
        <f t="shared" si="100"/>
        <v>27.638209661381957</v>
      </c>
      <c r="BS63" s="227">
        <f t="shared" si="101"/>
        <v>7.6918213571777132</v>
      </c>
      <c r="BT63" s="227">
        <f t="shared" si="215"/>
        <v>27.830389346547523</v>
      </c>
      <c r="BV63" s="231">
        <f t="shared" si="102"/>
        <v>0.26</v>
      </c>
      <c r="BW63" s="231">
        <f t="shared" si="103"/>
        <v>0.30971230126124205</v>
      </c>
      <c r="BX63" s="231">
        <f t="shared" si="104"/>
        <v>0.32501853939397057</v>
      </c>
      <c r="BY63" s="231">
        <f t="shared" si="105"/>
        <v>0.26</v>
      </c>
      <c r="BZ63" s="231">
        <f t="shared" si="106"/>
        <v>0.33867368385883306</v>
      </c>
      <c r="CA63" s="231">
        <f t="shared" si="107"/>
        <v>0.31423418408019771</v>
      </c>
      <c r="CB63" s="231">
        <f t="shared" si="108"/>
        <v>0.48</v>
      </c>
      <c r="CC63" s="231">
        <f t="shared" si="109"/>
        <v>0.45468954797789651</v>
      </c>
      <c r="CD63" s="231">
        <f t="shared" si="110"/>
        <v>0.34279103207151745</v>
      </c>
      <c r="CE63" s="231">
        <f t="shared" si="111"/>
        <v>8.2200798376796877E-2</v>
      </c>
      <c r="CF63" s="231">
        <f t="shared" si="216"/>
        <v>23.979856730804759</v>
      </c>
      <c r="CH63" s="232">
        <f t="shared" si="112"/>
        <v>1.482910269605056</v>
      </c>
      <c r="CI63" s="232">
        <f t="shared" si="113"/>
        <v>1.52</v>
      </c>
      <c r="CJ63" s="232">
        <f t="shared" si="114"/>
        <v>2.1</v>
      </c>
      <c r="CK63" s="232">
        <f t="shared" si="115"/>
        <v>1.9917229272212247</v>
      </c>
      <c r="CL63" s="232">
        <f t="shared" si="116"/>
        <v>1.8552974614342557</v>
      </c>
      <c r="CM63" s="232">
        <f t="shared" si="117"/>
        <v>1.5385280619413817</v>
      </c>
      <c r="CN63" s="232">
        <f t="shared" si="118"/>
        <v>1.4858154797298182</v>
      </c>
      <c r="CO63" s="232">
        <f t="shared" si="119"/>
        <v>1.8909496267029515</v>
      </c>
      <c r="CP63" s="232">
        <f t="shared" si="120"/>
        <v>1.52</v>
      </c>
      <c r="CQ63" s="232">
        <f t="shared" si="121"/>
        <v>1.4896790057562341</v>
      </c>
      <c r="CR63" s="232">
        <f t="shared" si="122"/>
        <v>1.6874902832390919</v>
      </c>
      <c r="CS63" s="232">
        <f t="shared" si="123"/>
        <v>0.24317973800016834</v>
      </c>
      <c r="CT63" s="232">
        <f t="shared" si="217"/>
        <v>14.410734118918386</v>
      </c>
      <c r="CV63" s="229">
        <f t="shared" si="218"/>
        <v>0.83</v>
      </c>
      <c r="CW63" s="229">
        <f t="shared" si="219"/>
        <v>1.19</v>
      </c>
      <c r="CX63" s="229">
        <f t="shared" si="220"/>
        <v>0.77977733246271719</v>
      </c>
      <c r="CY63" s="229">
        <f t="shared" si="221"/>
        <v>0.52179301494371833</v>
      </c>
      <c r="CZ63" s="229">
        <f t="shared" si="222"/>
        <v>1.2039858289212595</v>
      </c>
      <c r="DA63" s="229">
        <f t="shared" si="223"/>
        <v>0.83</v>
      </c>
      <c r="DB63" s="229">
        <f t="shared" si="224"/>
        <v>0.54832764598013306</v>
      </c>
      <c r="DC63" s="229">
        <f t="shared" si="225"/>
        <v>0.89</v>
      </c>
      <c r="DD63" s="229">
        <f t="shared" si="226"/>
        <v>0.84923547778847852</v>
      </c>
      <c r="DE63" s="229">
        <f t="shared" si="227"/>
        <v>0.25268799179424251</v>
      </c>
      <c r="DF63" s="229">
        <f t="shared" si="228"/>
        <v>29.754761594778806</v>
      </c>
      <c r="DH63" s="234">
        <f t="shared" si="124"/>
        <v>8.7319999999999995E-2</v>
      </c>
      <c r="DI63" s="234">
        <f t="shared" si="125"/>
        <v>0.11800000000000001</v>
      </c>
      <c r="DJ63" s="234">
        <f t="shared" si="126"/>
        <v>0.11314991039136217</v>
      </c>
      <c r="DK63" s="234">
        <f t="shared" si="229"/>
        <v>0.10615663679712073</v>
      </c>
      <c r="DL63" s="234">
        <f t="shared" si="230"/>
        <v>1.6492271119313239E-2</v>
      </c>
      <c r="DM63" s="234">
        <f t="shared" si="231"/>
        <v>15.535789016029335</v>
      </c>
      <c r="DO63" s="229">
        <f t="shared" si="127"/>
        <v>2.38</v>
      </c>
      <c r="DP63" s="229">
        <f t="shared" si="128"/>
        <v>3.49</v>
      </c>
      <c r="DQ63" s="229">
        <f t="shared" si="129"/>
        <v>3.8125930820284846</v>
      </c>
      <c r="DR63" s="229">
        <f t="shared" si="130"/>
        <v>2.9860636786335739</v>
      </c>
      <c r="DS63" s="229">
        <f t="shared" si="131"/>
        <v>2.6830608327704417</v>
      </c>
      <c r="DT63" s="229">
        <f t="shared" si="132"/>
        <v>2.38</v>
      </c>
      <c r="DU63" s="229">
        <f t="shared" si="133"/>
        <v>2.6667999999999998</v>
      </c>
      <c r="DV63" s="229">
        <f t="shared" si="134"/>
        <v>3.4042072439927491</v>
      </c>
      <c r="DW63" s="229">
        <f t="shared" si="232"/>
        <v>2.9753406046781556</v>
      </c>
      <c r="DX63" s="229">
        <f t="shared" si="233"/>
        <v>0.53976095550491809</v>
      </c>
      <c r="DY63" s="229">
        <f t="shared" si="234"/>
        <v>18.141148433770805</v>
      </c>
      <c r="EA63" s="235">
        <f t="shared" si="135"/>
        <v>0.14000000000000001</v>
      </c>
      <c r="EB63" s="235">
        <f t="shared" si="136"/>
        <v>0.21536819360286871</v>
      </c>
      <c r="EC63" s="235">
        <f t="shared" si="137"/>
        <v>0.14000000000000001</v>
      </c>
      <c r="ED63" s="235">
        <f t="shared" si="138"/>
        <v>0.16933647890562933</v>
      </c>
      <c r="EE63" s="235">
        <f t="shared" si="139"/>
        <v>0.1403666079818022</v>
      </c>
      <c r="EF63" s="235">
        <f t="shared" si="140"/>
        <v>0.16101425609806005</v>
      </c>
      <c r="EG63" s="235">
        <f t="shared" si="141"/>
        <v>3.291326938401129E-2</v>
      </c>
      <c r="EH63" s="235">
        <f t="shared" si="235"/>
        <v>20.441214449959404</v>
      </c>
      <c r="EJ63" s="229">
        <f t="shared" si="142"/>
        <v>7.5426305676856105</v>
      </c>
      <c r="EK63" s="229">
        <f t="shared" si="143"/>
        <v>16.917184224865075</v>
      </c>
      <c r="EL63" s="229">
        <f t="shared" si="144"/>
        <v>6.91</v>
      </c>
      <c r="EM63" s="229">
        <f t="shared" si="145"/>
        <v>14.4</v>
      </c>
      <c r="EN63" s="229">
        <f t="shared" si="146"/>
        <v>22.351496049830565</v>
      </c>
      <c r="EO63" s="229">
        <f t="shared" si="236"/>
        <v>22.469973950421139</v>
      </c>
      <c r="EP63" s="229">
        <f t="shared" si="147"/>
        <v>21.150577409634639</v>
      </c>
      <c r="EQ63" s="229">
        <f t="shared" si="148"/>
        <v>15.963123171776717</v>
      </c>
      <c r="ER63" s="229">
        <f t="shared" si="149"/>
        <v>6.6617992809319011</v>
      </c>
      <c r="ES63" s="229">
        <f t="shared" si="237"/>
        <v>41.732430485220853</v>
      </c>
      <c r="EU63" s="238">
        <f t="shared" si="191"/>
        <v>1.6127283705298034E-2</v>
      </c>
      <c r="EV63" s="238">
        <f t="shared" si="151"/>
        <v>1.6127283705298034E-2</v>
      </c>
      <c r="EW63" s="238" t="e">
        <f t="shared" si="152"/>
        <v>#DIV/0!</v>
      </c>
      <c r="EX63" s="238" t="e">
        <f t="shared" si="238"/>
        <v>#DIV/0!</v>
      </c>
      <c r="EZ63" s="240">
        <f t="shared" si="153"/>
        <v>2.7577655136059635E-2</v>
      </c>
      <c r="FA63" s="240">
        <f t="shared" si="154"/>
        <v>2.7577655136059635E-2</v>
      </c>
      <c r="FB63" s="240" t="e">
        <f t="shared" si="155"/>
        <v>#DIV/0!</v>
      </c>
      <c r="FC63" s="240" t="e">
        <f t="shared" si="239"/>
        <v>#DIV/0!</v>
      </c>
      <c r="FE63" s="236">
        <f t="shared" si="156"/>
        <v>0.9</v>
      </c>
      <c r="FF63" s="236">
        <f t="shared" si="157"/>
        <v>1.2</v>
      </c>
      <c r="FG63" s="236">
        <f t="shared" si="158"/>
        <v>1.3286674783346635</v>
      </c>
      <c r="FH63" s="236">
        <f t="shared" si="159"/>
        <v>1.3305009056870878</v>
      </c>
      <c r="FI63" s="236">
        <f t="shared" si="160"/>
        <v>0.9</v>
      </c>
      <c r="FJ63" s="236">
        <f t="shared" si="161"/>
        <v>1.1289098593708622</v>
      </c>
      <c r="FK63" s="236">
        <f t="shared" si="240"/>
        <v>1.1313463738987688</v>
      </c>
      <c r="FL63" s="236">
        <f t="shared" si="241"/>
        <v>0.19512031785528466</v>
      </c>
      <c r="FM63" s="236">
        <f t="shared" si="242"/>
        <v>17.24673560254357</v>
      </c>
      <c r="FO63" s="227">
        <f t="shared" si="162"/>
        <v>0.3</v>
      </c>
      <c r="FP63" s="227">
        <f t="shared" si="163"/>
        <v>0.32</v>
      </c>
      <c r="FQ63" s="227">
        <f t="shared" si="164"/>
        <v>0.35500577631442665</v>
      </c>
      <c r="FR63" s="227">
        <f t="shared" si="165"/>
        <v>0.3</v>
      </c>
      <c r="FS63" s="227">
        <f t="shared" si="166"/>
        <v>0.36286388336920572</v>
      </c>
      <c r="FT63" s="227">
        <f t="shared" si="243"/>
        <v>0.32757393193672646</v>
      </c>
      <c r="FU63" s="227">
        <f t="shared" si="244"/>
        <v>2.9899392334768776E-2</v>
      </c>
      <c r="FV63" s="227">
        <f t="shared" si="245"/>
        <v>9.1275249400932434</v>
      </c>
      <c r="FX63" s="230">
        <f t="shared" si="167"/>
        <v>2.94</v>
      </c>
      <c r="FY63" s="230">
        <f t="shared" si="168"/>
        <v>1.6933647890562935</v>
      </c>
      <c r="FZ63" s="230">
        <f t="shared" si="169"/>
        <v>2.94</v>
      </c>
      <c r="GA63" s="230">
        <f t="shared" si="170"/>
        <v>4.0278816008509288</v>
      </c>
      <c r="GB63" s="230">
        <f t="shared" si="246"/>
        <v>2.9003115974768057</v>
      </c>
      <c r="GC63" s="230">
        <f t="shared" si="247"/>
        <v>0.95416369131214696</v>
      </c>
      <c r="GD63" s="230">
        <f t="shared" si="248"/>
        <v>32.898661376323986</v>
      </c>
      <c r="GF63" s="231">
        <f t="shared" si="171"/>
        <v>0.06</v>
      </c>
      <c r="GG63" s="231">
        <f t="shared" si="172"/>
        <v>0.05</v>
      </c>
      <c r="GH63" s="231">
        <f t="shared" si="173"/>
        <v>0.06</v>
      </c>
      <c r="GI63" s="231">
        <f t="shared" si="174"/>
        <v>6.4509134821192138E-2</v>
      </c>
      <c r="GJ63" s="245">
        <f t="shared" si="187"/>
        <v>5.8627283705298031E-2</v>
      </c>
      <c r="GK63" s="231">
        <f t="shared" si="188"/>
        <v>6.1317451766123438E-3</v>
      </c>
      <c r="GL63" s="231">
        <f t="shared" si="249"/>
        <v>10.458859406543221</v>
      </c>
      <c r="GN63" s="246">
        <f t="shared" si="175"/>
        <v>0.18</v>
      </c>
      <c r="GO63" s="246">
        <f t="shared" si="176"/>
        <v>0.18</v>
      </c>
      <c r="GP63" s="246">
        <f t="shared" si="177"/>
        <v>0.16933647890562933</v>
      </c>
      <c r="GQ63" s="247">
        <f t="shared" si="189"/>
        <v>0.17644549296854309</v>
      </c>
      <c r="GR63" s="246">
        <f t="shared" si="190"/>
        <v>6.1565867743441534E-3</v>
      </c>
      <c r="GS63" s="246">
        <f t="shared" si="250"/>
        <v>3.489228696502753</v>
      </c>
      <c r="GU63" s="249">
        <f t="shared" si="178"/>
        <v>2.2094378676258304E-2</v>
      </c>
      <c r="GV63" s="249">
        <f t="shared" si="179"/>
        <v>2.2094378676258304E-2</v>
      </c>
      <c r="GW63" s="249" t="e">
        <f t="shared" si="180"/>
        <v>#DIV/0!</v>
      </c>
      <c r="GX63" s="249" t="e">
        <f t="shared" si="251"/>
        <v>#DIV/0!</v>
      </c>
      <c r="GZ63" s="240">
        <f t="shared" si="181"/>
        <v>2.4190925557947052E-2</v>
      </c>
      <c r="HA63" s="240">
        <f t="shared" si="182"/>
        <v>2.4190925557947052E-2</v>
      </c>
      <c r="HB63" s="240" t="e">
        <f t="shared" si="183"/>
        <v>#DIV/0!</v>
      </c>
      <c r="HC63" s="240" t="e">
        <f t="shared" si="252"/>
        <v>#DIV/0!</v>
      </c>
      <c r="HE63" s="234">
        <f t="shared" si="184"/>
        <v>9.5527138046523269E-2</v>
      </c>
      <c r="HF63" s="251">
        <f t="shared" si="185"/>
        <v>9.5527138046523269E-2</v>
      </c>
      <c r="HG63" s="234" t="e">
        <f t="shared" si="186"/>
        <v>#DIV/0!</v>
      </c>
      <c r="HH63" s="234" t="e">
        <f t="shared" si="253"/>
        <v>#DIV/0!</v>
      </c>
    </row>
    <row r="64" spans="2:216" ht="15.6" x14ac:dyDescent="0.25">
      <c r="B64">
        <v>60</v>
      </c>
      <c r="C64" s="124">
        <f t="shared" si="52"/>
        <v>80.726083636007388</v>
      </c>
      <c r="D64" s="124">
        <f t="shared" si="53"/>
        <v>174.24487013068813</v>
      </c>
      <c r="E64" s="29">
        <f t="shared" si="201"/>
        <v>2.015255489125813</v>
      </c>
      <c r="F64" s="29">
        <f t="shared" si="202"/>
        <v>1.9574389458818873</v>
      </c>
      <c r="G64" s="29">
        <f t="shared" si="203"/>
        <v>1.9895950293302507</v>
      </c>
      <c r="H64" s="29">
        <f t="shared" si="204"/>
        <v>2.015255489125813</v>
      </c>
      <c r="I64" s="29">
        <f t="shared" si="205"/>
        <v>1.9766769223536067</v>
      </c>
      <c r="J64" s="125">
        <f t="shared" si="206"/>
        <v>1.9908443751634741</v>
      </c>
      <c r="K64" s="126">
        <f t="shared" si="207"/>
        <v>2.5049976344212899E-2</v>
      </c>
      <c r="L64" s="126">
        <f t="shared" si="55"/>
        <v>1.2582588903844365</v>
      </c>
      <c r="N64" s="138">
        <f t="shared" si="56"/>
        <v>418.07731878432958</v>
      </c>
      <c r="O64" s="138">
        <f t="shared" si="57"/>
        <v>325.79239999999999</v>
      </c>
      <c r="P64" s="138">
        <f t="shared" si="58"/>
        <v>337.92075808992058</v>
      </c>
      <c r="Q64" s="138">
        <f t="shared" si="59"/>
        <v>426.99843359740163</v>
      </c>
      <c r="R64" s="138">
        <f t="shared" si="60"/>
        <v>418.07731878432958</v>
      </c>
      <c r="S64" s="138">
        <f t="shared" si="61"/>
        <v>357.6</v>
      </c>
      <c r="T64" s="138">
        <f t="shared" si="62"/>
        <v>380.74437154266349</v>
      </c>
      <c r="U64" s="138">
        <f t="shared" si="63"/>
        <v>45.422855779315512</v>
      </c>
      <c r="V64" s="138">
        <f t="shared" si="64"/>
        <v>11.93001372424116</v>
      </c>
      <c r="X64" s="227">
        <f t="shared" si="65"/>
        <v>0.43969860000000005</v>
      </c>
      <c r="Y64" s="227">
        <f t="shared" si="66"/>
        <v>0.47</v>
      </c>
      <c r="Z64" s="227">
        <f t="shared" si="67"/>
        <v>0.43969860000000005</v>
      </c>
      <c r="AA64" s="227">
        <f t="shared" si="68"/>
        <v>0.44979906666666669</v>
      </c>
      <c r="AB64" s="227">
        <f t="shared" si="69"/>
        <v>1.7494521446822481E-2</v>
      </c>
      <c r="AC64" s="227">
        <f t="shared" si="70"/>
        <v>3.8894081253812764</v>
      </c>
      <c r="AE64" s="228">
        <f t="shared" si="71"/>
        <v>4.4483288007966255</v>
      </c>
      <c r="AF64" s="228">
        <f t="shared" si="72"/>
        <v>5.2850000000000001</v>
      </c>
      <c r="AG64" s="228">
        <f t="shared" si="73"/>
        <v>4.4483288007966255</v>
      </c>
      <c r="AH64" s="228">
        <f t="shared" si="74"/>
        <v>7.2388492009954266</v>
      </c>
      <c r="AI64" s="228">
        <f t="shared" si="75"/>
        <v>5.2850000000000001</v>
      </c>
      <c r="AJ64" s="228">
        <f t="shared" si="76"/>
        <v>6.1432549647001613</v>
      </c>
      <c r="AK64" s="228">
        <f t="shared" si="77"/>
        <v>5.4901054427305365</v>
      </c>
      <c r="AL64" s="228">
        <f t="shared" si="78"/>
        <v>5.4769810300027677</v>
      </c>
      <c r="AM64" s="228">
        <f t="shared" si="79"/>
        <v>0.97794315677403743</v>
      </c>
      <c r="AN64" s="228">
        <f t="shared" si="80"/>
        <v>17.855514770215358</v>
      </c>
      <c r="AP64" s="229">
        <f t="shared" si="192"/>
        <v>1.4218528995756718</v>
      </c>
      <c r="AQ64" s="229">
        <f t="shared" si="193"/>
        <v>1.4</v>
      </c>
      <c r="AR64" s="229">
        <f t="shared" si="194"/>
        <v>1.47</v>
      </c>
      <c r="AS64" s="229">
        <f t="shared" si="195"/>
        <v>1.3614350519230276</v>
      </c>
      <c r="AT64" s="229">
        <f t="shared" si="196"/>
        <v>1.4218528995756718</v>
      </c>
      <c r="AU64" s="229">
        <f t="shared" si="197"/>
        <v>1.114294946720974</v>
      </c>
      <c r="AV64" s="229">
        <f t="shared" si="198"/>
        <v>1.4</v>
      </c>
      <c r="AW64" s="229">
        <f t="shared" si="199"/>
        <v>1.4499999999962327</v>
      </c>
      <c r="AX64" s="229">
        <f t="shared" si="200"/>
        <v>1.3802965021585496</v>
      </c>
      <c r="AY64" s="229">
        <f t="shared" si="90"/>
        <v>1.3799702555500142</v>
      </c>
      <c r="AZ64" s="229">
        <f t="shared" si="91"/>
        <v>0.1050281170635423</v>
      </c>
      <c r="BA64" s="229">
        <f t="shared" si="92"/>
        <v>7.6108971654379092</v>
      </c>
      <c r="BC64" s="230">
        <f t="shared" si="93"/>
        <v>9.65</v>
      </c>
      <c r="BD64" s="230">
        <f t="shared" si="94"/>
        <v>11.73</v>
      </c>
      <c r="BE64" s="230">
        <f t="shared" si="95"/>
        <v>9.65</v>
      </c>
      <c r="BF64" s="230">
        <f t="shared" si="96"/>
        <v>8.8493538461538463</v>
      </c>
      <c r="BG64" s="230">
        <f t="shared" si="97"/>
        <v>9.9698384615384619</v>
      </c>
      <c r="BH64" s="230">
        <f t="shared" si="98"/>
        <v>1.2326458936979734</v>
      </c>
      <c r="BI64" s="230">
        <f t="shared" si="99"/>
        <v>12.363749908820106</v>
      </c>
      <c r="BK64" s="227">
        <f t="shared" si="208"/>
        <v>19.600000000000001</v>
      </c>
      <c r="BL64" s="227">
        <f t="shared" si="209"/>
        <v>31.73</v>
      </c>
      <c r="BM64" s="227">
        <f t="shared" si="210"/>
        <v>40.618567866395701</v>
      </c>
      <c r="BN64" s="227">
        <f t="shared" si="211"/>
        <v>22.910176575410205</v>
      </c>
      <c r="BO64" s="227">
        <f t="shared" si="212"/>
        <v>19.600000000000001</v>
      </c>
      <c r="BP64" s="227">
        <f t="shared" si="213"/>
        <v>26.900216869629805</v>
      </c>
      <c r="BQ64" s="227">
        <f t="shared" si="214"/>
        <v>31.86</v>
      </c>
      <c r="BR64" s="227">
        <f t="shared" si="100"/>
        <v>27.602708758776537</v>
      </c>
      <c r="BS64" s="227">
        <f t="shared" si="101"/>
        <v>7.6938470883526087</v>
      </c>
      <c r="BT64" s="227">
        <f t="shared" si="215"/>
        <v>27.873521963333687</v>
      </c>
      <c r="BV64" s="231">
        <f t="shared" si="102"/>
        <v>0.26</v>
      </c>
      <c r="BW64" s="231">
        <f t="shared" si="103"/>
        <v>0.30953001880966186</v>
      </c>
      <c r="BX64" s="231">
        <f t="shared" si="104"/>
        <v>0.32528464787240369</v>
      </c>
      <c r="BY64" s="231">
        <f t="shared" si="105"/>
        <v>0.26</v>
      </c>
      <c r="BZ64" s="231">
        <f t="shared" si="106"/>
        <v>0.33905013575376136</v>
      </c>
      <c r="CA64" s="231">
        <f t="shared" si="107"/>
        <v>0.31409755942897716</v>
      </c>
      <c r="CB64" s="231">
        <f t="shared" si="108"/>
        <v>0.48</v>
      </c>
      <c r="CC64" s="231">
        <f t="shared" si="109"/>
        <v>0.45401534012845496</v>
      </c>
      <c r="CD64" s="231">
        <f t="shared" si="110"/>
        <v>0.34274721274915737</v>
      </c>
      <c r="CE64" s="231">
        <f t="shared" si="111"/>
        <v>8.2076549959773773E-2</v>
      </c>
      <c r="CF64" s="231">
        <f t="shared" si="216"/>
        <v>23.946671747216289</v>
      </c>
      <c r="CH64" s="232">
        <f t="shared" si="112"/>
        <v>1.4830303653531394</v>
      </c>
      <c r="CI64" s="232">
        <f t="shared" si="113"/>
        <v>1.52</v>
      </c>
      <c r="CJ64" s="232">
        <f t="shared" si="114"/>
        <v>2.1</v>
      </c>
      <c r="CK64" s="232">
        <f t="shared" si="115"/>
        <v>1.9939369945174492</v>
      </c>
      <c r="CL64" s="232">
        <f t="shared" si="116"/>
        <v>1.8531971195334829</v>
      </c>
      <c r="CM64" s="232">
        <f t="shared" si="117"/>
        <v>1.539862317979948</v>
      </c>
      <c r="CN64" s="232">
        <f t="shared" si="118"/>
        <v>1.485935810760771</v>
      </c>
      <c r="CO64" s="232">
        <f t="shared" si="119"/>
        <v>1.8929449883783396</v>
      </c>
      <c r="CP64" s="232">
        <f t="shared" si="120"/>
        <v>1.52</v>
      </c>
      <c r="CQ64" s="232">
        <f t="shared" si="121"/>
        <v>1.4895055239470529</v>
      </c>
      <c r="CR64" s="232">
        <f t="shared" si="122"/>
        <v>1.6878413120470181</v>
      </c>
      <c r="CS64" s="232">
        <f t="shared" si="123"/>
        <v>0.24341757603784289</v>
      </c>
      <c r="CT64" s="232">
        <f t="shared" si="217"/>
        <v>14.421828302248713</v>
      </c>
      <c r="CV64" s="229">
        <f t="shared" si="218"/>
        <v>0.83</v>
      </c>
      <c r="CW64" s="229">
        <f t="shared" si="219"/>
        <v>1.19</v>
      </c>
      <c r="CX64" s="229">
        <f t="shared" si="220"/>
        <v>0.78263699663649966</v>
      </c>
      <c r="CY64" s="229">
        <f t="shared" si="221"/>
        <v>0.52109808485884157</v>
      </c>
      <c r="CZ64" s="229">
        <f t="shared" si="222"/>
        <v>1.2049952792757892</v>
      </c>
      <c r="DA64" s="229">
        <f t="shared" si="223"/>
        <v>0.83</v>
      </c>
      <c r="DB64" s="229">
        <f t="shared" si="224"/>
        <v>0.54893736872485022</v>
      </c>
      <c r="DC64" s="229">
        <f t="shared" si="225"/>
        <v>0.89</v>
      </c>
      <c r="DD64" s="229">
        <f t="shared" si="226"/>
        <v>0.84970846618699758</v>
      </c>
      <c r="DE64" s="229">
        <f t="shared" si="227"/>
        <v>0.252805379782374</v>
      </c>
      <c r="DF64" s="229">
        <f t="shared" si="228"/>
        <v>29.752013760298162</v>
      </c>
      <c r="DH64" s="234">
        <f t="shared" si="124"/>
        <v>8.8800000000000004E-2</v>
      </c>
      <c r="DI64" s="234">
        <f t="shared" si="125"/>
        <v>0.12</v>
      </c>
      <c r="DJ64" s="234">
        <f t="shared" si="126"/>
        <v>0.11310220104114568</v>
      </c>
      <c r="DK64" s="234">
        <f t="shared" si="229"/>
        <v>0.10730073368038189</v>
      </c>
      <c r="DL64" s="234">
        <f t="shared" si="230"/>
        <v>1.6389105151090766E-2</v>
      </c>
      <c r="DM64" s="234">
        <f t="shared" si="231"/>
        <v>15.273991695070055</v>
      </c>
      <c r="DO64" s="229">
        <f t="shared" si="127"/>
        <v>2.38</v>
      </c>
      <c r="DP64" s="229">
        <f t="shared" si="128"/>
        <v>3.49</v>
      </c>
      <c r="DQ64" s="229">
        <f t="shared" si="129"/>
        <v>3.8128526617100915</v>
      </c>
      <c r="DR64" s="229">
        <f t="shared" si="130"/>
        <v>2.986266562745211</v>
      </c>
      <c r="DS64" s="229">
        <f t="shared" si="131"/>
        <v>2.6854480433668537</v>
      </c>
      <c r="DT64" s="229">
        <f t="shared" si="132"/>
        <v>2.38</v>
      </c>
      <c r="DU64" s="229">
        <f t="shared" si="133"/>
        <v>2.7119999999999997</v>
      </c>
      <c r="DV64" s="229">
        <f t="shared" si="134"/>
        <v>3.404962448871109</v>
      </c>
      <c r="DW64" s="229">
        <f t="shared" si="232"/>
        <v>2.9814412145866585</v>
      </c>
      <c r="DX64" s="229">
        <f t="shared" si="233"/>
        <v>0.53624942853612745</v>
      </c>
      <c r="DY64" s="229">
        <f t="shared" si="234"/>
        <v>17.986248593885897</v>
      </c>
      <c r="EA64" s="235">
        <f t="shared" si="135"/>
        <v>0.14000000000000001</v>
      </c>
      <c r="EB64" s="235">
        <f t="shared" si="136"/>
        <v>0.21556735871815641</v>
      </c>
      <c r="EC64" s="235">
        <f t="shared" si="137"/>
        <v>0.14000000000000001</v>
      </c>
      <c r="ED64" s="235">
        <f t="shared" si="138"/>
        <v>0.16952477563561549</v>
      </c>
      <c r="EE64" s="235">
        <f t="shared" si="139"/>
        <v>0.14031221072219813</v>
      </c>
      <c r="EF64" s="235">
        <f t="shared" si="140"/>
        <v>0.161080869015194</v>
      </c>
      <c r="EG64" s="235">
        <f t="shared" si="141"/>
        <v>3.3015982354490825E-2</v>
      </c>
      <c r="EH64" s="235">
        <f t="shared" si="235"/>
        <v>20.496526096700272</v>
      </c>
      <c r="EJ64" s="229">
        <f t="shared" si="142"/>
        <v>7.5426305676856105</v>
      </c>
      <c r="EK64" s="229">
        <f t="shared" si="143"/>
        <v>16.97381563038434</v>
      </c>
      <c r="EL64" s="229">
        <f t="shared" si="144"/>
        <v>6.91</v>
      </c>
      <c r="EM64" s="229">
        <f t="shared" si="145"/>
        <v>14.4</v>
      </c>
      <c r="EN64" s="229">
        <f t="shared" si="146"/>
        <v>22.424930288078382</v>
      </c>
      <c r="EO64" s="229">
        <f t="shared" si="236"/>
        <v>22.61218323262484</v>
      </c>
      <c r="EP64" s="229">
        <f t="shared" si="147"/>
        <v>21.213592050107614</v>
      </c>
      <c r="EQ64" s="229">
        <f t="shared" si="148"/>
        <v>16.011021681268684</v>
      </c>
      <c r="ER64" s="229">
        <f t="shared" si="149"/>
        <v>6.7062769431311899</v>
      </c>
      <c r="ES64" s="229">
        <f t="shared" si="237"/>
        <v>41.885377939228405</v>
      </c>
      <c r="EU64" s="238">
        <f t="shared" si="191"/>
        <v>1.614521672720148E-2</v>
      </c>
      <c r="EV64" s="238">
        <f t="shared" si="151"/>
        <v>1.614521672720148E-2</v>
      </c>
      <c r="EW64" s="238" t="e">
        <f t="shared" si="152"/>
        <v>#DIV/0!</v>
      </c>
      <c r="EX64" s="238" t="e">
        <f t="shared" si="238"/>
        <v>#DIV/0!</v>
      </c>
      <c r="EZ64" s="240">
        <f t="shared" si="153"/>
        <v>2.7608320603514529E-2</v>
      </c>
      <c r="FA64" s="240">
        <f t="shared" si="154"/>
        <v>2.7608320603514529E-2</v>
      </c>
      <c r="FB64" s="240" t="e">
        <f t="shared" si="155"/>
        <v>#DIV/0!</v>
      </c>
      <c r="FC64" s="240" t="e">
        <f t="shared" si="239"/>
        <v>#DIV/0!</v>
      </c>
      <c r="FE64" s="236">
        <f t="shared" si="156"/>
        <v>0.9</v>
      </c>
      <c r="FF64" s="236">
        <f t="shared" si="157"/>
        <v>1.2</v>
      </c>
      <c r="FG64" s="236">
        <f t="shared" si="158"/>
        <v>1.3293769321519722</v>
      </c>
      <c r="FH64" s="236">
        <f t="shared" si="159"/>
        <v>1.3319803799941219</v>
      </c>
      <c r="FI64" s="236">
        <f t="shared" si="160"/>
        <v>0.9</v>
      </c>
      <c r="FJ64" s="236">
        <f t="shared" si="161"/>
        <v>1.1301651709041034</v>
      </c>
      <c r="FK64" s="236">
        <f t="shared" si="240"/>
        <v>1.1319204138416996</v>
      </c>
      <c r="FL64" s="236">
        <f t="shared" si="241"/>
        <v>0.19556335767335764</v>
      </c>
      <c r="FM64" s="236">
        <f t="shared" si="242"/>
        <v>17.277129671124332</v>
      </c>
      <c r="FO64" s="227">
        <f t="shared" si="162"/>
        <v>0.3</v>
      </c>
      <c r="FP64" s="227">
        <f t="shared" si="163"/>
        <v>0.32</v>
      </c>
      <c r="FQ64" s="227">
        <f t="shared" si="164"/>
        <v>0.35489531254680839</v>
      </c>
      <c r="FR64" s="227">
        <f t="shared" si="165"/>
        <v>0.3</v>
      </c>
      <c r="FS64" s="227">
        <f t="shared" si="166"/>
        <v>0.36326737636203321</v>
      </c>
      <c r="FT64" s="227">
        <f t="shared" si="243"/>
        <v>0.32763253778176826</v>
      </c>
      <c r="FU64" s="227">
        <f t="shared" si="244"/>
        <v>2.9993626531492779E-2</v>
      </c>
      <c r="FV64" s="227">
        <f t="shared" si="245"/>
        <v>9.1546543986638902</v>
      </c>
      <c r="FX64" s="230">
        <f t="shared" si="167"/>
        <v>2.94</v>
      </c>
      <c r="FY64" s="230">
        <f t="shared" si="168"/>
        <v>1.6952477563561552</v>
      </c>
      <c r="FZ64" s="230">
        <f t="shared" si="169"/>
        <v>2.94</v>
      </c>
      <c r="GA64" s="230">
        <f t="shared" si="170"/>
        <v>4.0327783342076948</v>
      </c>
      <c r="GB64" s="230">
        <f t="shared" si="246"/>
        <v>2.9020065226409626</v>
      </c>
      <c r="GC64" s="230">
        <f t="shared" si="247"/>
        <v>0.95530075865889807</v>
      </c>
      <c r="GD64" s="230">
        <f t="shared" si="248"/>
        <v>32.918628928150355</v>
      </c>
      <c r="GF64" s="231">
        <f t="shared" si="171"/>
        <v>0.06</v>
      </c>
      <c r="GG64" s="231">
        <f t="shared" si="172"/>
        <v>0.05</v>
      </c>
      <c r="GH64" s="231">
        <f t="shared" si="173"/>
        <v>0.06</v>
      </c>
      <c r="GI64" s="231">
        <f t="shared" si="174"/>
        <v>6.458086690880592E-2</v>
      </c>
      <c r="GJ64" s="245">
        <f t="shared" si="187"/>
        <v>5.864521672720148E-2</v>
      </c>
      <c r="GK64" s="231">
        <f t="shared" si="188"/>
        <v>6.1547431782643424E-3</v>
      </c>
      <c r="GL64" s="231">
        <f t="shared" si="249"/>
        <v>10.494876686864695</v>
      </c>
      <c r="GN64" s="246">
        <f t="shared" si="175"/>
        <v>0.18</v>
      </c>
      <c r="GO64" s="246">
        <f t="shared" si="176"/>
        <v>0.18</v>
      </c>
      <c r="GP64" s="246">
        <f t="shared" si="177"/>
        <v>0.16952477563561549</v>
      </c>
      <c r="GQ64" s="247">
        <f t="shared" si="189"/>
        <v>0.17650825854520516</v>
      </c>
      <c r="GR64" s="246">
        <f t="shared" si="190"/>
        <v>6.0478736065991169E-3</v>
      </c>
      <c r="GS64" s="246">
        <f t="shared" si="250"/>
        <v>3.4263969609389178</v>
      </c>
      <c r="GU64" s="249">
        <f t="shared" si="178"/>
        <v>2.2118946916266025E-2</v>
      </c>
      <c r="GV64" s="249">
        <f t="shared" si="179"/>
        <v>2.2118946916266025E-2</v>
      </c>
      <c r="GW64" s="249" t="e">
        <f t="shared" si="180"/>
        <v>#DIV/0!</v>
      </c>
      <c r="GX64" s="249" t="e">
        <f t="shared" si="251"/>
        <v>#DIV/0!</v>
      </c>
      <c r="GZ64" s="240">
        <f t="shared" si="181"/>
        <v>2.4217825090802218E-2</v>
      </c>
      <c r="HA64" s="240">
        <f t="shared" si="182"/>
        <v>2.4217825090802218E-2</v>
      </c>
      <c r="HB64" s="240" t="e">
        <f t="shared" si="183"/>
        <v>#DIV/0!</v>
      </c>
      <c r="HC64" s="240" t="e">
        <f t="shared" si="252"/>
        <v>#DIV/0!</v>
      </c>
      <c r="HE64" s="234">
        <f t="shared" si="184"/>
        <v>9.5633839526848771E-2</v>
      </c>
      <c r="HF64" s="251">
        <f t="shared" si="185"/>
        <v>9.5633839526848771E-2</v>
      </c>
      <c r="HG64" s="234" t="e">
        <f t="shared" si="186"/>
        <v>#DIV/0!</v>
      </c>
      <c r="HH64" s="234" t="e">
        <f t="shared" si="253"/>
        <v>#DIV/0!</v>
      </c>
    </row>
    <row r="65" spans="2:216" ht="15.6" x14ac:dyDescent="0.25">
      <c r="B65">
        <v>61</v>
      </c>
      <c r="C65" s="124">
        <f t="shared" si="52"/>
        <v>80.830484785372391</v>
      </c>
      <c r="D65" s="124">
        <f t="shared" si="53"/>
        <v>174.00019117309375</v>
      </c>
      <c r="E65" s="29">
        <f t="shared" si="201"/>
        <v>2.01542050588096</v>
      </c>
      <c r="F65" s="29">
        <f t="shared" si="202"/>
        <v>1.9565201616310348</v>
      </c>
      <c r="G65" s="29">
        <f t="shared" si="203"/>
        <v>1.98973949470999</v>
      </c>
      <c r="H65" s="29">
        <f t="shared" si="204"/>
        <v>2.01542050588096</v>
      </c>
      <c r="I65" s="29">
        <f t="shared" si="205"/>
        <v>1.9765654699551614</v>
      </c>
      <c r="J65" s="125">
        <f t="shared" si="206"/>
        <v>1.9907332276116212</v>
      </c>
      <c r="K65" s="126">
        <f t="shared" si="207"/>
        <v>2.5451768909937545E-2</v>
      </c>
      <c r="L65" s="126">
        <f t="shared" si="55"/>
        <v>1.2785122866750589</v>
      </c>
      <c r="N65" s="138">
        <f t="shared" si="56"/>
        <v>418.05397779844043</v>
      </c>
      <c r="O65" s="138">
        <f t="shared" si="57"/>
        <v>325.79239999999999</v>
      </c>
      <c r="P65" s="138">
        <f t="shared" si="58"/>
        <v>336.29741629772479</v>
      </c>
      <c r="Q65" s="138">
        <f t="shared" si="59"/>
        <v>427.41855823048365</v>
      </c>
      <c r="R65" s="138">
        <f t="shared" si="60"/>
        <v>418.05397779844043</v>
      </c>
      <c r="S65" s="138">
        <f t="shared" si="61"/>
        <v>354.74429999999995</v>
      </c>
      <c r="T65" s="138">
        <f t="shared" si="62"/>
        <v>380.0601050208482</v>
      </c>
      <c r="U65" s="138">
        <f t="shared" si="63"/>
        <v>46.110602997682413</v>
      </c>
      <c r="V65" s="138">
        <f t="shared" si="64"/>
        <v>12.13245020683058</v>
      </c>
      <c r="X65" s="227">
        <f t="shared" si="65"/>
        <v>0.43938365315</v>
      </c>
      <c r="Y65" s="227">
        <f t="shared" si="66"/>
        <v>0.47</v>
      </c>
      <c r="Z65" s="227">
        <f t="shared" si="67"/>
        <v>0.43938365315</v>
      </c>
      <c r="AA65" s="227">
        <f t="shared" si="68"/>
        <v>0.44958910209999997</v>
      </c>
      <c r="AB65" s="227">
        <f t="shared" si="69"/>
        <v>1.7676356095450436E-2</v>
      </c>
      <c r="AC65" s="227">
        <f t="shared" si="70"/>
        <v>3.9316691647740978</v>
      </c>
      <c r="AE65" s="228">
        <f t="shared" si="71"/>
        <v>4.4480287493139912</v>
      </c>
      <c r="AF65" s="228">
        <f t="shared" si="72"/>
        <v>5.2850000000000001</v>
      </c>
      <c r="AG65" s="228">
        <f t="shared" si="73"/>
        <v>4.4480287493139912</v>
      </c>
      <c r="AH65" s="228">
        <f t="shared" si="74"/>
        <v>7.2482080820880412</v>
      </c>
      <c r="AI65" s="228">
        <f t="shared" si="75"/>
        <v>5.2850000000000001</v>
      </c>
      <c r="AJ65" s="228">
        <f t="shared" si="76"/>
        <v>6.1511998921668383</v>
      </c>
      <c r="AK65" s="228">
        <f t="shared" si="77"/>
        <v>5.4897562716478294</v>
      </c>
      <c r="AL65" s="228">
        <f t="shared" si="78"/>
        <v>5.4793173920758127</v>
      </c>
      <c r="AM65" s="228">
        <f t="shared" si="79"/>
        <v>0.9817620523369005</v>
      </c>
      <c r="AN65" s="228">
        <f t="shared" si="80"/>
        <v>17.917597797067288</v>
      </c>
      <c r="AP65" s="229">
        <f t="shared" si="192"/>
        <v>1.4222258303952495</v>
      </c>
      <c r="AQ65" s="229">
        <f t="shared" si="193"/>
        <v>1.4</v>
      </c>
      <c r="AR65" s="229">
        <f t="shared" si="194"/>
        <v>1.47</v>
      </c>
      <c r="AS65" s="229">
        <f t="shared" si="195"/>
        <v>1.3573926418717974</v>
      </c>
      <c r="AT65" s="229">
        <f t="shared" si="196"/>
        <v>1.4222258303952495</v>
      </c>
      <c r="AU65" s="229">
        <f t="shared" si="197"/>
        <v>1.1318396861226065</v>
      </c>
      <c r="AV65" s="229">
        <f t="shared" si="198"/>
        <v>1.4</v>
      </c>
      <c r="AW65" s="229">
        <f t="shared" si="199"/>
        <v>1.4499999999975737</v>
      </c>
      <c r="AX65" s="229">
        <f t="shared" si="200"/>
        <v>1.3781038155633794</v>
      </c>
      <c r="AY65" s="229">
        <f t="shared" si="90"/>
        <v>1.3813097560384286</v>
      </c>
      <c r="AZ65" s="229">
        <f t="shared" si="91"/>
        <v>9.9654924550643884E-2</v>
      </c>
      <c r="BA65" s="229">
        <f t="shared" si="92"/>
        <v>7.2145240497288894</v>
      </c>
      <c r="BC65" s="230">
        <f t="shared" si="93"/>
        <v>9.65</v>
      </c>
      <c r="BD65" s="230">
        <f t="shared" si="94"/>
        <v>11.73</v>
      </c>
      <c r="BE65" s="230">
        <f t="shared" si="95"/>
        <v>9.65</v>
      </c>
      <c r="BF65" s="230">
        <f t="shared" si="96"/>
        <v>8.8435076923076927</v>
      </c>
      <c r="BG65" s="230">
        <f t="shared" si="97"/>
        <v>9.9683769230769244</v>
      </c>
      <c r="BH65" s="230">
        <f t="shared" si="98"/>
        <v>1.2344194832356163</v>
      </c>
      <c r="BI65" s="230">
        <f t="shared" si="99"/>
        <v>12.383354810530077</v>
      </c>
      <c r="BK65" s="227">
        <f t="shared" si="208"/>
        <v>19.600000000000001</v>
      </c>
      <c r="BL65" s="227">
        <f t="shared" si="209"/>
        <v>31.73</v>
      </c>
      <c r="BM65" s="227">
        <f t="shared" si="210"/>
        <v>40.611883002714848</v>
      </c>
      <c r="BN65" s="227">
        <f t="shared" si="211"/>
        <v>22.91960252196769</v>
      </c>
      <c r="BO65" s="227">
        <f t="shared" si="212"/>
        <v>19.600000000000001</v>
      </c>
      <c r="BP65" s="227">
        <f t="shared" si="213"/>
        <v>26.64113072169922</v>
      </c>
      <c r="BQ65" s="227">
        <f t="shared" si="214"/>
        <v>31.86</v>
      </c>
      <c r="BR65" s="227">
        <f t="shared" si="100"/>
        <v>27.566088035197392</v>
      </c>
      <c r="BS65" s="227">
        <f t="shared" si="101"/>
        <v>7.69557340263525</v>
      </c>
      <c r="BT65" s="227">
        <f t="shared" si="215"/>
        <v>27.91681356023118</v>
      </c>
      <c r="BV65" s="231">
        <f t="shared" si="102"/>
        <v>0.26</v>
      </c>
      <c r="BW65" s="231">
        <f t="shared" si="103"/>
        <v>0.30939932723358876</v>
      </c>
      <c r="BX65" s="231">
        <f t="shared" si="104"/>
        <v>0.32559476862065806</v>
      </c>
      <c r="BY65" s="231">
        <f t="shared" si="105"/>
        <v>0.26</v>
      </c>
      <c r="BZ65" s="231">
        <f t="shared" si="106"/>
        <v>0.33948850670367337</v>
      </c>
      <c r="CA65" s="231">
        <f t="shared" si="107"/>
        <v>0.31385530844773107</v>
      </c>
      <c r="CB65" s="231">
        <f t="shared" si="108"/>
        <v>0.48</v>
      </c>
      <c r="CC65" s="231">
        <f t="shared" si="109"/>
        <v>0.45304278654545171</v>
      </c>
      <c r="CD65" s="231">
        <f t="shared" si="110"/>
        <v>0.34267258719388788</v>
      </c>
      <c r="CE65" s="231">
        <f t="shared" si="111"/>
        <v>8.1896492335572918E-2</v>
      </c>
      <c r="CF65" s="231">
        <f t="shared" si="216"/>
        <v>23.899341644517072</v>
      </c>
      <c r="CH65" s="232">
        <f t="shared" si="112"/>
        <v>1.4829316758972744</v>
      </c>
      <c r="CI65" s="232">
        <f t="shared" si="113"/>
        <v>1.52</v>
      </c>
      <c r="CJ65" s="232">
        <f t="shared" si="114"/>
        <v>2.1</v>
      </c>
      <c r="CK65" s="232">
        <f t="shared" si="115"/>
        <v>1.9965151712600153</v>
      </c>
      <c r="CL65" s="232">
        <f t="shared" si="116"/>
        <v>1.8514866799846468</v>
      </c>
      <c r="CM65" s="232">
        <f t="shared" si="117"/>
        <v>1.5414154419974988</v>
      </c>
      <c r="CN65" s="232">
        <f t="shared" si="118"/>
        <v>1.4858369279596899</v>
      </c>
      <c r="CO65" s="232">
        <f t="shared" si="119"/>
        <v>1.8952670683110453</v>
      </c>
      <c r="CP65" s="232">
        <f t="shared" si="120"/>
        <v>1.52</v>
      </c>
      <c r="CQ65" s="232">
        <f t="shared" si="121"/>
        <v>1.4890461118737068</v>
      </c>
      <c r="CR65" s="232">
        <f t="shared" si="122"/>
        <v>1.6882499077283875</v>
      </c>
      <c r="CS65" s="232">
        <f t="shared" si="123"/>
        <v>0.24382441906466032</v>
      </c>
      <c r="CT65" s="232">
        <f t="shared" si="217"/>
        <v>14.442436392177063</v>
      </c>
      <c r="CV65" s="229">
        <f t="shared" si="218"/>
        <v>0.83</v>
      </c>
      <c r="CW65" s="229">
        <f t="shared" si="219"/>
        <v>1.19</v>
      </c>
      <c r="CX65" s="229">
        <f t="shared" si="220"/>
        <v>0.78568400512372372</v>
      </c>
      <c r="CY65" s="229">
        <f t="shared" si="221"/>
        <v>0.52009525122288991</v>
      </c>
      <c r="CZ65" s="229">
        <f t="shared" si="222"/>
        <v>1.2061697061938832</v>
      </c>
      <c r="DA65" s="229">
        <f t="shared" si="223"/>
        <v>0.83</v>
      </c>
      <c r="DB65" s="229">
        <f t="shared" si="224"/>
        <v>0.54964729654053224</v>
      </c>
      <c r="DC65" s="229">
        <f t="shared" si="225"/>
        <v>0.89</v>
      </c>
      <c r="DD65" s="229">
        <f t="shared" si="226"/>
        <v>0.85019953238512858</v>
      </c>
      <c r="DE65" s="229">
        <f t="shared" si="227"/>
        <v>0.25299406487755521</v>
      </c>
      <c r="DF65" s="229">
        <f t="shared" si="228"/>
        <v>29.757022350719481</v>
      </c>
      <c r="DH65" s="234">
        <f t="shared" si="124"/>
        <v>9.0279999999999999E-2</v>
      </c>
      <c r="DI65" s="234">
        <f t="shared" si="125"/>
        <v>0.122</v>
      </c>
      <c r="DJ65" s="234">
        <f t="shared" si="126"/>
        <v>0.11301581648067466</v>
      </c>
      <c r="DK65" s="234">
        <f t="shared" si="229"/>
        <v>0.10843193882689155</v>
      </c>
      <c r="DL65" s="234">
        <f t="shared" si="230"/>
        <v>1.6349267590893567E-2</v>
      </c>
      <c r="DM65" s="234">
        <f t="shared" si="231"/>
        <v>15.077907642133653</v>
      </c>
      <c r="DO65" s="229">
        <f t="shared" si="127"/>
        <v>2.38</v>
      </c>
      <c r="DP65" s="229">
        <f t="shared" si="128"/>
        <v>3.49</v>
      </c>
      <c r="DQ65" s="229">
        <f t="shared" si="129"/>
        <v>3.8126393504290719</v>
      </c>
      <c r="DR65" s="229">
        <f t="shared" si="130"/>
        <v>2.986099841417432</v>
      </c>
      <c r="DS65" s="229">
        <f t="shared" si="131"/>
        <v>2.688229571855508</v>
      </c>
      <c r="DT65" s="229">
        <f t="shared" si="132"/>
        <v>2.38</v>
      </c>
      <c r="DU65" s="229">
        <f t="shared" si="133"/>
        <v>2.7571999999999997</v>
      </c>
      <c r="DV65" s="229">
        <f t="shared" si="134"/>
        <v>3.4043418421213789</v>
      </c>
      <c r="DW65" s="229">
        <f t="shared" si="232"/>
        <v>2.9873138257279241</v>
      </c>
      <c r="DX65" s="229">
        <f t="shared" si="233"/>
        <v>0.53289417085096946</v>
      </c>
      <c r="DY65" s="229">
        <f t="shared" si="234"/>
        <v>17.838573445530727</v>
      </c>
      <c r="EA65" s="235">
        <f t="shared" si="135"/>
        <v>0.14000000000000001</v>
      </c>
      <c r="EB65" s="235">
        <f t="shared" si="136"/>
        <v>0.21579914283290644</v>
      </c>
      <c r="EC65" s="235">
        <f t="shared" si="137"/>
        <v>0.14000000000000001</v>
      </c>
      <c r="ED65" s="235">
        <f t="shared" si="138"/>
        <v>0.16974401804928202</v>
      </c>
      <c r="EE65" s="235">
        <f t="shared" si="139"/>
        <v>0.14021371675109184</v>
      </c>
      <c r="EF65" s="235">
        <f t="shared" si="140"/>
        <v>0.16115137552665607</v>
      </c>
      <c r="EG65" s="235">
        <f t="shared" si="141"/>
        <v>3.3141208884940265E-2</v>
      </c>
      <c r="EH65" s="235">
        <f t="shared" si="235"/>
        <v>20.56526590395648</v>
      </c>
      <c r="EJ65" s="229">
        <f t="shared" si="142"/>
        <v>7.5426305676856105</v>
      </c>
      <c r="EK65" s="229">
        <f t="shared" si="143"/>
        <v>17.040032689401031</v>
      </c>
      <c r="EL65" s="229">
        <f t="shared" si="144"/>
        <v>6.91</v>
      </c>
      <c r="EM65" s="229">
        <f t="shared" si="145"/>
        <v>14.4</v>
      </c>
      <c r="EN65" s="229">
        <f t="shared" si="146"/>
        <v>22.495081898871177</v>
      </c>
      <c r="EO65" s="229">
        <f t="shared" si="236"/>
        <v>22.773872756869547</v>
      </c>
      <c r="EP65" s="229">
        <f t="shared" si="147"/>
        <v>21.287050431794505</v>
      </c>
      <c r="EQ65" s="229">
        <f t="shared" si="148"/>
        <v>16.064095477803125</v>
      </c>
      <c r="ER65" s="229">
        <f t="shared" si="149"/>
        <v>6.7551517545917843</v>
      </c>
      <c r="ES65" s="229">
        <f t="shared" si="237"/>
        <v>42.051242560938746</v>
      </c>
      <c r="EU65" s="238">
        <f t="shared" si="191"/>
        <v>1.616609695707448E-2</v>
      </c>
      <c r="EV65" s="238">
        <f t="shared" si="151"/>
        <v>1.616609695707448E-2</v>
      </c>
      <c r="EW65" s="238" t="e">
        <f t="shared" si="152"/>
        <v>#DIV/0!</v>
      </c>
      <c r="EX65" s="238" t="e">
        <f t="shared" si="238"/>
        <v>#DIV/0!</v>
      </c>
      <c r="EZ65" s="240">
        <f t="shared" si="153"/>
        <v>2.764402579659736E-2</v>
      </c>
      <c r="FA65" s="240">
        <f t="shared" si="154"/>
        <v>2.764402579659736E-2</v>
      </c>
      <c r="FB65" s="240" t="e">
        <f t="shared" si="155"/>
        <v>#DIV/0!</v>
      </c>
      <c r="FC65" s="240" t="e">
        <f t="shared" si="239"/>
        <v>#DIV/0!</v>
      </c>
      <c r="FE65" s="236">
        <f t="shared" si="156"/>
        <v>0.9</v>
      </c>
      <c r="FF65" s="236">
        <f t="shared" si="157"/>
        <v>1.2</v>
      </c>
      <c r="FG65" s="236">
        <f t="shared" si="158"/>
        <v>1.3302690482735433</v>
      </c>
      <c r="FH65" s="236">
        <f t="shared" si="159"/>
        <v>1.3337029989586444</v>
      </c>
      <c r="FI65" s="236">
        <f t="shared" si="160"/>
        <v>0.9</v>
      </c>
      <c r="FJ65" s="236">
        <f t="shared" si="161"/>
        <v>1.1316267869952135</v>
      </c>
      <c r="FK65" s="236">
        <f t="shared" si="240"/>
        <v>1.132599805704567</v>
      </c>
      <c r="FL65" s="236">
        <f t="shared" si="241"/>
        <v>0.19609421000062896</v>
      </c>
      <c r="FM65" s="236">
        <f t="shared" si="242"/>
        <v>17.313636203446354</v>
      </c>
      <c r="FO65" s="227">
        <f t="shared" si="162"/>
        <v>0.3</v>
      </c>
      <c r="FP65" s="227">
        <f t="shared" si="163"/>
        <v>0.32</v>
      </c>
      <c r="FQ65" s="227">
        <f t="shared" si="164"/>
        <v>0.35467598942227169</v>
      </c>
      <c r="FR65" s="227">
        <f t="shared" si="165"/>
        <v>0.3</v>
      </c>
      <c r="FS65" s="227">
        <f t="shared" si="166"/>
        <v>0.36373718153417572</v>
      </c>
      <c r="FT65" s="227">
        <f t="shared" si="243"/>
        <v>0.32768263419128946</v>
      </c>
      <c r="FU65" s="227">
        <f t="shared" si="244"/>
        <v>3.0084260629027807E-2</v>
      </c>
      <c r="FV65" s="227">
        <f t="shared" si="245"/>
        <v>9.1809139362160046</v>
      </c>
      <c r="FX65" s="230">
        <f t="shared" si="167"/>
        <v>2.94</v>
      </c>
      <c r="FY65" s="230">
        <f t="shared" si="168"/>
        <v>1.6974401804928203</v>
      </c>
      <c r="FZ65" s="230">
        <f t="shared" si="169"/>
        <v>2.94</v>
      </c>
      <c r="GA65" s="230">
        <f t="shared" si="170"/>
        <v>4.0383678987267864</v>
      </c>
      <c r="GB65" s="230">
        <f t="shared" si="246"/>
        <v>2.9039520198049016</v>
      </c>
      <c r="GC65" s="230">
        <f t="shared" si="247"/>
        <v>0.95658578958408647</v>
      </c>
      <c r="GD65" s="230">
        <f t="shared" si="248"/>
        <v>32.940826262286301</v>
      </c>
      <c r="GF65" s="231">
        <f t="shared" si="171"/>
        <v>0.06</v>
      </c>
      <c r="GG65" s="231">
        <f t="shared" si="172"/>
        <v>0.05</v>
      </c>
      <c r="GH65" s="231">
        <f t="shared" si="173"/>
        <v>0.06</v>
      </c>
      <c r="GI65" s="231">
        <f t="shared" si="174"/>
        <v>6.466438782829792E-2</v>
      </c>
      <c r="GJ65" s="245">
        <f t="shared" si="187"/>
        <v>5.8666096957074476E-2</v>
      </c>
      <c r="GK65" s="231">
        <f t="shared" si="188"/>
        <v>6.1816751909998715E-3</v>
      </c>
      <c r="GL65" s="231">
        <f t="shared" si="249"/>
        <v>10.537048673142436</v>
      </c>
      <c r="GN65" s="246">
        <f t="shared" si="175"/>
        <v>0.18</v>
      </c>
      <c r="GO65" s="246">
        <f t="shared" si="176"/>
        <v>0.18</v>
      </c>
      <c r="GP65" s="246">
        <f t="shared" si="177"/>
        <v>0.16974401804928202</v>
      </c>
      <c r="GQ65" s="247">
        <f t="shared" si="189"/>
        <v>0.1765813393497607</v>
      </c>
      <c r="GR65" s="246">
        <f t="shared" si="190"/>
        <v>5.9212939400509652E-3</v>
      </c>
      <c r="GS65" s="246">
        <f t="shared" si="250"/>
        <v>3.35329540587664</v>
      </c>
      <c r="GU65" s="249">
        <f t="shared" si="178"/>
        <v>2.2147552831192036E-2</v>
      </c>
      <c r="GV65" s="249">
        <f t="shared" si="179"/>
        <v>2.2147552831192036E-2</v>
      </c>
      <c r="GW65" s="249" t="e">
        <f t="shared" si="180"/>
        <v>#DIV/0!</v>
      </c>
      <c r="GX65" s="249" t="e">
        <f t="shared" si="251"/>
        <v>#DIV/0!</v>
      </c>
      <c r="GZ65" s="240">
        <f t="shared" si="181"/>
        <v>2.424914543561172E-2</v>
      </c>
      <c r="HA65" s="240">
        <f t="shared" si="182"/>
        <v>2.424914543561172E-2</v>
      </c>
      <c r="HB65" s="240" t="e">
        <f t="shared" si="183"/>
        <v>#DIV/0!</v>
      </c>
      <c r="HC65" s="240" t="e">
        <f t="shared" si="252"/>
        <v>#DIV/0!</v>
      </c>
      <c r="HE65" s="234">
        <f t="shared" si="184"/>
        <v>9.5758076894593133E-2</v>
      </c>
      <c r="HF65" s="251">
        <f t="shared" si="185"/>
        <v>9.5758076894593133E-2</v>
      </c>
      <c r="HG65" s="234" t="e">
        <f t="shared" si="186"/>
        <v>#DIV/0!</v>
      </c>
      <c r="HH65" s="234" t="e">
        <f t="shared" si="253"/>
        <v>#DIV/0!</v>
      </c>
    </row>
    <row r="66" spans="2:216" ht="15.6" x14ac:dyDescent="0.25">
      <c r="B66">
        <v>62</v>
      </c>
      <c r="C66" s="124">
        <f t="shared" si="52"/>
        <v>80.949421381563297</v>
      </c>
      <c r="D66" s="124">
        <f t="shared" si="53"/>
        <v>173.67699123445982</v>
      </c>
      <c r="E66" s="29">
        <f t="shared" si="201"/>
        <v>2.0153876953410927</v>
      </c>
      <c r="F66" s="29">
        <f t="shared" si="202"/>
        <v>1.955106073541764</v>
      </c>
      <c r="G66" s="29">
        <f t="shared" si="203"/>
        <v>1.9896850760226386</v>
      </c>
      <c r="H66" s="29">
        <f t="shared" si="204"/>
        <v>2.0153876953410927</v>
      </c>
      <c r="I66" s="29">
        <f t="shared" si="205"/>
        <v>1.9761812183350242</v>
      </c>
      <c r="J66" s="125">
        <f t="shared" si="206"/>
        <v>1.9903495517163226</v>
      </c>
      <c r="K66" s="126">
        <f t="shared" si="207"/>
        <v>2.5966821257813463E-2</v>
      </c>
      <c r="L66" s="126">
        <f t="shared" si="55"/>
        <v>1.3046362251003445</v>
      </c>
      <c r="N66" s="138">
        <f t="shared" si="56"/>
        <v>417.97340586042776</v>
      </c>
      <c r="O66" s="138">
        <f t="shared" si="57"/>
        <v>325.79239999999999</v>
      </c>
      <c r="P66" s="138">
        <f t="shared" si="58"/>
        <v>334.61556656189589</v>
      </c>
      <c r="Q66" s="138">
        <f t="shared" si="59"/>
        <v>427.89701744620925</v>
      </c>
      <c r="R66" s="138">
        <f t="shared" si="60"/>
        <v>417.97340586042776</v>
      </c>
      <c r="S66" s="138">
        <f t="shared" si="61"/>
        <v>351.78120000000001</v>
      </c>
      <c r="T66" s="138">
        <f t="shared" si="62"/>
        <v>379.3388326214934</v>
      </c>
      <c r="U66" s="138">
        <f t="shared" si="63"/>
        <v>46.840093726224218</v>
      </c>
      <c r="V66" s="138">
        <f t="shared" si="64"/>
        <v>12.347824609077538</v>
      </c>
      <c r="X66" s="227">
        <f t="shared" si="65"/>
        <v>0.43913688519999999</v>
      </c>
      <c r="Y66" s="227">
        <f t="shared" si="66"/>
        <v>0.47</v>
      </c>
      <c r="Z66" s="227">
        <f t="shared" si="67"/>
        <v>0.43913688519999999</v>
      </c>
      <c r="AA66" s="227">
        <f t="shared" si="68"/>
        <v>0.4494245901333333</v>
      </c>
      <c r="AB66" s="227">
        <f t="shared" si="69"/>
        <v>1.781882763781031E-2</v>
      </c>
      <c r="AC66" s="227">
        <f t="shared" si="70"/>
        <v>3.9648092314049617</v>
      </c>
      <c r="AE66" s="228">
        <f t="shared" si="71"/>
        <v>4.4469930131202622</v>
      </c>
      <c r="AF66" s="228">
        <f t="shared" si="72"/>
        <v>5.2850000000000001</v>
      </c>
      <c r="AG66" s="228">
        <f t="shared" si="73"/>
        <v>4.4469930131202622</v>
      </c>
      <c r="AH66" s="228">
        <f t="shared" si="74"/>
        <v>7.2588699617502623</v>
      </c>
      <c r="AI66" s="228">
        <f t="shared" si="75"/>
        <v>5.2850000000000001</v>
      </c>
      <c r="AJ66" s="228">
        <f t="shared" si="76"/>
        <v>6.1602509671369674</v>
      </c>
      <c r="AK66" s="228">
        <f t="shared" si="77"/>
        <v>5.4885509502031633</v>
      </c>
      <c r="AL66" s="228">
        <f t="shared" si="78"/>
        <v>5.4816654150472743</v>
      </c>
      <c r="AM66" s="228">
        <f t="shared" si="79"/>
        <v>0.9863594926539454</v>
      </c>
      <c r="AN66" s="228">
        <f t="shared" si="80"/>
        <v>17.993792360007419</v>
      </c>
      <c r="AP66" s="229">
        <f t="shared" si="192"/>
        <v>1.4225869783581406</v>
      </c>
      <c r="AQ66" s="229">
        <f t="shared" si="193"/>
        <v>1.4</v>
      </c>
      <c r="AR66" s="229">
        <f t="shared" si="194"/>
        <v>1.47</v>
      </c>
      <c r="AS66" s="229">
        <f t="shared" si="195"/>
        <v>1.3526253207852121</v>
      </c>
      <c r="AT66" s="229">
        <f t="shared" si="196"/>
        <v>1.4225869783581406</v>
      </c>
      <c r="AU66" s="229">
        <f t="shared" si="197"/>
        <v>1.1492119252831028</v>
      </c>
      <c r="AV66" s="229">
        <f t="shared" si="198"/>
        <v>1.4</v>
      </c>
      <c r="AW66" s="229">
        <f t="shared" si="199"/>
        <v>1.4499999999984374</v>
      </c>
      <c r="AX66" s="229">
        <f t="shared" si="200"/>
        <v>1.3759146121868491</v>
      </c>
      <c r="AY66" s="229">
        <f t="shared" si="90"/>
        <v>1.3825473127744314</v>
      </c>
      <c r="AZ66" s="229">
        <f t="shared" si="91"/>
        <v>9.4470961885799981E-2</v>
      </c>
      <c r="BA66" s="229">
        <f t="shared" si="92"/>
        <v>6.8331087849876226</v>
      </c>
      <c r="BC66" s="230">
        <f t="shared" si="93"/>
        <v>9.65</v>
      </c>
      <c r="BD66" s="230">
        <f t="shared" si="94"/>
        <v>11.73</v>
      </c>
      <c r="BE66" s="230">
        <f t="shared" si="95"/>
        <v>9.65</v>
      </c>
      <c r="BF66" s="230">
        <f t="shared" si="96"/>
        <v>8.8376615384615391</v>
      </c>
      <c r="BG66" s="230">
        <f t="shared" si="97"/>
        <v>9.9669153846153851</v>
      </c>
      <c r="BH66" s="230">
        <f t="shared" si="98"/>
        <v>1.2361974400112339</v>
      </c>
      <c r="BI66" s="230">
        <f t="shared" si="99"/>
        <v>12.403009279273999</v>
      </c>
      <c r="BK66" s="227">
        <f t="shared" si="208"/>
        <v>19.600000000000001</v>
      </c>
      <c r="BL66" s="227">
        <f t="shared" si="209"/>
        <v>31.73</v>
      </c>
      <c r="BM66" s="227">
        <f t="shared" si="210"/>
        <v>40.599504817806</v>
      </c>
      <c r="BN66" s="227">
        <f t="shared" si="211"/>
        <v>22.930307593023052</v>
      </c>
      <c r="BO66" s="227">
        <f t="shared" si="212"/>
        <v>19.600000000000001</v>
      </c>
      <c r="BP66" s="227">
        <f t="shared" si="213"/>
        <v>26.37783778570661</v>
      </c>
      <c r="BQ66" s="227">
        <f t="shared" si="214"/>
        <v>31.86</v>
      </c>
      <c r="BR66" s="227">
        <f t="shared" si="100"/>
        <v>27.528235742362238</v>
      </c>
      <c r="BS66" s="227">
        <f t="shared" si="101"/>
        <v>7.6969180239156572</v>
      </c>
      <c r="BT66" s="227">
        <f t="shared" si="215"/>
        <v>27.960084677969899</v>
      </c>
      <c r="BV66" s="231">
        <f t="shared" si="102"/>
        <v>0.26</v>
      </c>
      <c r="BW66" s="231">
        <f t="shared" si="103"/>
        <v>0.30931952425685311</v>
      </c>
      <c r="BX66" s="231">
        <f t="shared" si="104"/>
        <v>0.32594843453206701</v>
      </c>
      <c r="BY66" s="231">
        <f t="shared" si="105"/>
        <v>0.26</v>
      </c>
      <c r="BZ66" s="231">
        <f t="shared" si="106"/>
        <v>0.33998794878493477</v>
      </c>
      <c r="CA66" s="231">
        <f t="shared" si="107"/>
        <v>0.31350004964275585</v>
      </c>
      <c r="CB66" s="231">
        <f t="shared" si="108"/>
        <v>0.48</v>
      </c>
      <c r="CC66" s="231">
        <f t="shared" si="109"/>
        <v>0.45175518472099763</v>
      </c>
      <c r="CD66" s="231">
        <f t="shared" si="110"/>
        <v>0.34256389274220106</v>
      </c>
      <c r="CE66" s="231">
        <f t="shared" si="111"/>
        <v>8.1659238425973391E-2</v>
      </c>
      <c r="CF66" s="231">
        <f t="shared" si="216"/>
        <v>23.837666536393151</v>
      </c>
      <c r="CH66" s="232">
        <f t="shared" si="112"/>
        <v>1.4825910047380435</v>
      </c>
      <c r="CI66" s="232">
        <f t="shared" si="113"/>
        <v>1.52</v>
      </c>
      <c r="CJ66" s="232">
        <f t="shared" si="114"/>
        <v>2.1</v>
      </c>
      <c r="CK66" s="232">
        <f t="shared" si="115"/>
        <v>1.9994524774371143</v>
      </c>
      <c r="CL66" s="232">
        <f t="shared" si="116"/>
        <v>1.8501608352769214</v>
      </c>
      <c r="CM66" s="232">
        <f t="shared" si="117"/>
        <v>1.5431842649804091</v>
      </c>
      <c r="CN66" s="232">
        <f t="shared" si="118"/>
        <v>1.4854955893822606</v>
      </c>
      <c r="CO66" s="232">
        <f t="shared" si="119"/>
        <v>1.8979108398087732</v>
      </c>
      <c r="CP66" s="232">
        <f t="shared" si="120"/>
        <v>1.52</v>
      </c>
      <c r="CQ66" s="232">
        <f t="shared" si="121"/>
        <v>1.4882784883119162</v>
      </c>
      <c r="CR66" s="232">
        <f t="shared" si="122"/>
        <v>1.6887073499935437</v>
      </c>
      <c r="CS66" s="232">
        <f t="shared" si="123"/>
        <v>0.24440619887186019</v>
      </c>
      <c r="CT66" s="232">
        <f t="shared" si="217"/>
        <v>14.47297537212677</v>
      </c>
      <c r="CV66" s="229">
        <f t="shared" si="218"/>
        <v>0.83</v>
      </c>
      <c r="CW66" s="229">
        <f t="shared" si="219"/>
        <v>1.19</v>
      </c>
      <c r="CX66" s="229">
        <f t="shared" si="220"/>
        <v>0.78891635146601713</v>
      </c>
      <c r="CY66" s="229">
        <f t="shared" si="221"/>
        <v>0.51876685536798905</v>
      </c>
      <c r="CZ66" s="229">
        <f t="shared" si="222"/>
        <v>1.2075064362956272</v>
      </c>
      <c r="DA66" s="229">
        <f t="shared" si="223"/>
        <v>0.83</v>
      </c>
      <c r="DB66" s="229">
        <f t="shared" si="224"/>
        <v>0.55045606539463043</v>
      </c>
      <c r="DC66" s="229">
        <f t="shared" si="225"/>
        <v>0.89</v>
      </c>
      <c r="DD66" s="229">
        <f t="shared" si="226"/>
        <v>0.85070571356553304</v>
      </c>
      <c r="DE66" s="229">
        <f t="shared" si="227"/>
        <v>0.25325877356671245</v>
      </c>
      <c r="DF66" s="229">
        <f t="shared" si="228"/>
        <v>29.770432892149955</v>
      </c>
      <c r="DH66" s="234">
        <f t="shared" si="124"/>
        <v>9.1759999999999994E-2</v>
      </c>
      <c r="DI66" s="234">
        <f t="shared" si="125"/>
        <v>0.124</v>
      </c>
      <c r="DJ66" s="234">
        <f t="shared" si="126"/>
        <v>0.11288800647607851</v>
      </c>
      <c r="DK66" s="234">
        <f t="shared" si="229"/>
        <v>0.10954933549202617</v>
      </c>
      <c r="DL66" s="234">
        <f t="shared" si="230"/>
        <v>1.6377253828246494E-2</v>
      </c>
      <c r="DM66" s="234">
        <f t="shared" si="231"/>
        <v>14.94966058414709</v>
      </c>
      <c r="DO66" s="229">
        <f t="shared" si="127"/>
        <v>2.38</v>
      </c>
      <c r="DP66" s="229">
        <f t="shared" si="128"/>
        <v>3.49</v>
      </c>
      <c r="DQ66" s="229">
        <f t="shared" si="129"/>
        <v>3.8119030105525895</v>
      </c>
      <c r="DR66" s="229">
        <f t="shared" si="130"/>
        <v>2.9855243275744838</v>
      </c>
      <c r="DS66" s="229">
        <f t="shared" si="131"/>
        <v>2.6914009583530216</v>
      </c>
      <c r="DT66" s="229">
        <f t="shared" si="132"/>
        <v>2.38</v>
      </c>
      <c r="DU66" s="229">
        <f t="shared" si="133"/>
        <v>2.8024</v>
      </c>
      <c r="DV66" s="229">
        <f t="shared" si="134"/>
        <v>3.4022004071151155</v>
      </c>
      <c r="DW66" s="229">
        <f t="shared" si="232"/>
        <v>2.9929285879494012</v>
      </c>
      <c r="DX66" s="229">
        <f t="shared" si="233"/>
        <v>0.5296818857549469</v>
      </c>
      <c r="DY66" s="229">
        <f t="shared" si="234"/>
        <v>17.697778954286957</v>
      </c>
      <c r="EA66" s="235">
        <f t="shared" si="135"/>
        <v>0.14000000000000001</v>
      </c>
      <c r="EB66" s="235">
        <f t="shared" si="136"/>
        <v>0.21606304957188238</v>
      </c>
      <c r="EC66" s="235">
        <f t="shared" si="137"/>
        <v>0.14000000000000001</v>
      </c>
      <c r="ED66" s="235">
        <f t="shared" si="138"/>
        <v>0.16999378490128292</v>
      </c>
      <c r="EE66" s="235">
        <f t="shared" si="139"/>
        <v>0.14006799030609809</v>
      </c>
      <c r="EF66" s="235">
        <f t="shared" si="140"/>
        <v>0.16122496495585267</v>
      </c>
      <c r="EG66" s="235">
        <f t="shared" si="141"/>
        <v>3.3289351070105513E-2</v>
      </c>
      <c r="EH66" s="235">
        <f t="shared" si="235"/>
        <v>20.647764494302077</v>
      </c>
      <c r="EJ66" s="229">
        <f t="shared" si="142"/>
        <v>7.5426305676856105</v>
      </c>
      <c r="EK66" s="229">
        <f t="shared" si="143"/>
        <v>17.117880773287258</v>
      </c>
      <c r="EL66" s="229">
        <f t="shared" si="144"/>
        <v>6.91</v>
      </c>
      <c r="EM66" s="229">
        <f t="shared" si="145"/>
        <v>14.4</v>
      </c>
      <c r="EN66" s="229">
        <f t="shared" si="146"/>
        <v>22.561928682373985</v>
      </c>
      <c r="EO66" s="229">
        <f t="shared" si="236"/>
        <v>22.957568898317255</v>
      </c>
      <c r="EP66" s="229">
        <f t="shared" si="147"/>
        <v>21.370849645347757</v>
      </c>
      <c r="EQ66" s="229">
        <f t="shared" si="148"/>
        <v>16.12297979528741</v>
      </c>
      <c r="ER66" s="229">
        <f t="shared" si="149"/>
        <v>6.8089608341742682</v>
      </c>
      <c r="ES66" s="229">
        <f t="shared" si="237"/>
        <v>42.231404620158749</v>
      </c>
      <c r="EU66" s="238">
        <f t="shared" si="191"/>
        <v>1.6189884276312662E-2</v>
      </c>
      <c r="EV66" s="238">
        <f t="shared" si="151"/>
        <v>1.6189884276312662E-2</v>
      </c>
      <c r="EW66" s="238" t="e">
        <f t="shared" si="152"/>
        <v>#DIV/0!</v>
      </c>
      <c r="EX66" s="238" t="e">
        <f t="shared" si="238"/>
        <v>#DIV/0!</v>
      </c>
      <c r="EZ66" s="240">
        <f t="shared" si="153"/>
        <v>2.7684702112494648E-2</v>
      </c>
      <c r="FA66" s="240">
        <f t="shared" si="154"/>
        <v>2.7684702112494648E-2</v>
      </c>
      <c r="FB66" s="240" t="e">
        <f t="shared" si="155"/>
        <v>#DIV/0!</v>
      </c>
      <c r="FC66" s="240" t="e">
        <f t="shared" si="239"/>
        <v>#DIV/0!</v>
      </c>
      <c r="FE66" s="236">
        <f t="shared" si="156"/>
        <v>0.9</v>
      </c>
      <c r="FF66" s="236">
        <f t="shared" si="157"/>
        <v>1.2</v>
      </c>
      <c r="FG66" s="236">
        <f t="shared" si="158"/>
        <v>1.3313240510151876</v>
      </c>
      <c r="FH66" s="236">
        <f t="shared" si="159"/>
        <v>1.3356654527957945</v>
      </c>
      <c r="FI66" s="236">
        <f t="shared" si="160"/>
        <v>0.9</v>
      </c>
      <c r="FJ66" s="236">
        <f t="shared" si="161"/>
        <v>1.1332918993418861</v>
      </c>
      <c r="FK66" s="236">
        <f t="shared" si="240"/>
        <v>1.1333802338588115</v>
      </c>
      <c r="FL66" s="236">
        <f t="shared" si="241"/>
        <v>0.19670888780454238</v>
      </c>
      <c r="FM66" s="236">
        <f t="shared" si="242"/>
        <v>17.355948332962278</v>
      </c>
      <c r="FO66" s="227">
        <f t="shared" si="162"/>
        <v>0.3</v>
      </c>
      <c r="FP66" s="227">
        <f t="shared" si="163"/>
        <v>0.32</v>
      </c>
      <c r="FQ66" s="227">
        <f t="shared" si="164"/>
        <v>0.35433957957560591</v>
      </c>
      <c r="FR66" s="227">
        <f t="shared" si="165"/>
        <v>0.3</v>
      </c>
      <c r="FS66" s="227">
        <f t="shared" si="166"/>
        <v>0.36427239621703483</v>
      </c>
      <c r="FT66" s="227">
        <f t="shared" si="243"/>
        <v>0.32772239515852813</v>
      </c>
      <c r="FU66" s="227">
        <f t="shared" si="244"/>
        <v>3.0170659825835749E-2</v>
      </c>
      <c r="FV66" s="227">
        <f t="shared" si="245"/>
        <v>9.2061635919758835</v>
      </c>
      <c r="FX66" s="230">
        <f t="shared" si="167"/>
        <v>2.94</v>
      </c>
      <c r="FY66" s="230">
        <f t="shared" si="168"/>
        <v>1.6999378490128294</v>
      </c>
      <c r="FZ66" s="230">
        <f t="shared" si="169"/>
        <v>2.94</v>
      </c>
      <c r="GA66" s="230">
        <f t="shared" si="170"/>
        <v>4.0446450086948929</v>
      </c>
      <c r="GB66" s="230">
        <f t="shared" si="246"/>
        <v>2.9061457144269305</v>
      </c>
      <c r="GC66" s="230">
        <f t="shared" si="247"/>
        <v>0.95802057788247408</v>
      </c>
      <c r="GD66" s="230">
        <f t="shared" si="248"/>
        <v>32.965331818242582</v>
      </c>
      <c r="GF66" s="231">
        <f t="shared" si="171"/>
        <v>0.06</v>
      </c>
      <c r="GG66" s="231">
        <f t="shared" si="172"/>
        <v>0.05</v>
      </c>
      <c r="GH66" s="231">
        <f t="shared" si="173"/>
        <v>0.06</v>
      </c>
      <c r="GI66" s="231">
        <f t="shared" si="174"/>
        <v>6.4759537105250647E-2</v>
      </c>
      <c r="GJ66" s="245">
        <f t="shared" si="187"/>
        <v>5.8689884276312658E-2</v>
      </c>
      <c r="GK66" s="231">
        <f t="shared" si="188"/>
        <v>6.2125566561721446E-3</v>
      </c>
      <c r="GL66" s="231">
        <f t="shared" si="249"/>
        <v>10.585395989065773</v>
      </c>
      <c r="GN66" s="246">
        <f t="shared" si="175"/>
        <v>0.18</v>
      </c>
      <c r="GO66" s="246">
        <f t="shared" si="176"/>
        <v>0.18</v>
      </c>
      <c r="GP66" s="246">
        <f t="shared" si="177"/>
        <v>0.16999378490128292</v>
      </c>
      <c r="GQ66" s="247">
        <f t="shared" si="189"/>
        <v>0.1766645949670943</v>
      </c>
      <c r="GR66" s="246">
        <f t="shared" si="190"/>
        <v>5.7770909808136008E-3</v>
      </c>
      <c r="GS66" s="246">
        <f t="shared" si="250"/>
        <v>3.2700898456137448</v>
      </c>
      <c r="GU66" s="249">
        <f t="shared" si="178"/>
        <v>2.2180141458548342E-2</v>
      </c>
      <c r="GV66" s="249">
        <f t="shared" si="179"/>
        <v>2.2180141458548342E-2</v>
      </c>
      <c r="GW66" s="249" t="e">
        <f t="shared" si="180"/>
        <v>#DIV/0!</v>
      </c>
      <c r="GX66" s="249" t="e">
        <f t="shared" si="251"/>
        <v>#DIV/0!</v>
      </c>
      <c r="GZ66" s="240">
        <f t="shared" si="181"/>
        <v>2.4284826414468993E-2</v>
      </c>
      <c r="HA66" s="240">
        <f t="shared" si="182"/>
        <v>2.4284826414468993E-2</v>
      </c>
      <c r="HB66" s="240" t="e">
        <f t="shared" si="183"/>
        <v>#DIV/0!</v>
      </c>
      <c r="HC66" s="240" t="e">
        <f t="shared" si="252"/>
        <v>#DIV/0!</v>
      </c>
      <c r="HE66" s="234">
        <f t="shared" si="184"/>
        <v>9.5899611444060312E-2</v>
      </c>
      <c r="HF66" s="251">
        <f t="shared" si="185"/>
        <v>9.5899611444060312E-2</v>
      </c>
      <c r="HG66" s="234" t="e">
        <f t="shared" si="186"/>
        <v>#DIV/0!</v>
      </c>
      <c r="HH66" s="234" t="e">
        <f t="shared" si="253"/>
        <v>#DIV/0!</v>
      </c>
    </row>
    <row r="67" spans="2:216" ht="15.6" x14ac:dyDescent="0.25">
      <c r="B67">
        <v>63</v>
      </c>
      <c r="C67" s="124">
        <f t="shared" si="52"/>
        <v>81.081210025920882</v>
      </c>
      <c r="D67" s="124">
        <f t="shared" si="53"/>
        <v>173.27384696337072</v>
      </c>
      <c r="E67" s="29">
        <f t="shared" si="201"/>
        <v>2.0151253913092444</v>
      </c>
      <c r="F67" s="29">
        <f t="shared" si="202"/>
        <v>1.9531646499314859</v>
      </c>
      <c r="G67" s="29">
        <f t="shared" si="203"/>
        <v>1.9894006896709848</v>
      </c>
      <c r="H67" s="29">
        <f t="shared" si="204"/>
        <v>2.0151253913092444</v>
      </c>
      <c r="I67" s="29">
        <f t="shared" si="205"/>
        <v>1.9754924264904696</v>
      </c>
      <c r="J67" s="125">
        <f t="shared" si="206"/>
        <v>1.9896617097422862</v>
      </c>
      <c r="K67" s="126">
        <f t="shared" si="207"/>
        <v>2.6597322478342917E-2</v>
      </c>
      <c r="L67" s="126">
        <f t="shared" si="55"/>
        <v>1.3367761136534098</v>
      </c>
      <c r="N67" s="138">
        <f t="shared" si="56"/>
        <v>417.82895904588003</v>
      </c>
      <c r="O67" s="138">
        <f t="shared" si="57"/>
        <v>325.79239999999999</v>
      </c>
      <c r="P67" s="138">
        <f t="shared" si="58"/>
        <v>332.86841671245367</v>
      </c>
      <c r="Q67" s="138">
        <f t="shared" si="59"/>
        <v>428.42698173539839</v>
      </c>
      <c r="R67" s="138">
        <f t="shared" si="60"/>
        <v>417.82895904588003</v>
      </c>
      <c r="S67" s="138">
        <f t="shared" si="61"/>
        <v>348.71069999999997</v>
      </c>
      <c r="T67" s="138">
        <f t="shared" si="62"/>
        <v>378.57606942326873</v>
      </c>
      <c r="U67" s="138">
        <f t="shared" si="63"/>
        <v>47.610792286428001</v>
      </c>
      <c r="V67" s="138">
        <f t="shared" si="64"/>
        <v>12.576281527503665</v>
      </c>
      <c r="X67" s="227">
        <f t="shared" si="65"/>
        <v>0.43896506504999999</v>
      </c>
      <c r="Y67" s="227">
        <f t="shared" si="66"/>
        <v>0.47</v>
      </c>
      <c r="Z67" s="227">
        <f t="shared" si="67"/>
        <v>0.43896506504999999</v>
      </c>
      <c r="AA67" s="227">
        <f t="shared" si="68"/>
        <v>0.44931004336666663</v>
      </c>
      <c r="AB67" s="227">
        <f t="shared" si="69"/>
        <v>1.7918028047665013E-2</v>
      </c>
      <c r="AC67" s="227">
        <f t="shared" si="70"/>
        <v>3.9878984038295178</v>
      </c>
      <c r="AE67" s="228">
        <f t="shared" si="71"/>
        <v>4.4451362821925606</v>
      </c>
      <c r="AF67" s="228">
        <f t="shared" si="72"/>
        <v>5.2850000000000001</v>
      </c>
      <c r="AG67" s="228">
        <f t="shared" si="73"/>
        <v>4.4451362821925606</v>
      </c>
      <c r="AH67" s="228">
        <f t="shared" si="74"/>
        <v>7.2706839310172127</v>
      </c>
      <c r="AI67" s="228">
        <f t="shared" si="75"/>
        <v>5.2850000000000001</v>
      </c>
      <c r="AJ67" s="228">
        <f t="shared" si="76"/>
        <v>6.170280082972579</v>
      </c>
      <c r="AK67" s="228">
        <f t="shared" si="77"/>
        <v>5.4863900881526533</v>
      </c>
      <c r="AL67" s="228">
        <f t="shared" si="78"/>
        <v>5.4839466666467951</v>
      </c>
      <c r="AM67" s="228">
        <f t="shared" si="79"/>
        <v>0.99170754783551751</v>
      </c>
      <c r="AN67" s="228">
        <f t="shared" si="80"/>
        <v>18.083829185776988</v>
      </c>
      <c r="AP67" s="229">
        <f t="shared" si="192"/>
        <v>1.4229368932038835</v>
      </c>
      <c r="AQ67" s="229">
        <f t="shared" si="193"/>
        <v>1.4</v>
      </c>
      <c r="AR67" s="229">
        <f t="shared" si="194"/>
        <v>1.47</v>
      </c>
      <c r="AS67" s="229">
        <f t="shared" si="195"/>
        <v>1.3471263222811707</v>
      </c>
      <c r="AT67" s="229">
        <f t="shared" si="196"/>
        <v>1.4229368932038835</v>
      </c>
      <c r="AU67" s="229">
        <f t="shared" si="197"/>
        <v>1.1664243029413384</v>
      </c>
      <c r="AV67" s="229">
        <f t="shared" si="198"/>
        <v>1.4</v>
      </c>
      <c r="AW67" s="229">
        <f t="shared" si="199"/>
        <v>1.4499999999989936</v>
      </c>
      <c r="AX67" s="229">
        <f t="shared" si="200"/>
        <v>1.3737288864956496</v>
      </c>
      <c r="AY67" s="229">
        <f t="shared" si="90"/>
        <v>1.383683699791658</v>
      </c>
      <c r="AZ67" s="229">
        <f t="shared" si="91"/>
        <v>8.9512297146751074E-2</v>
      </c>
      <c r="BA67" s="229">
        <f t="shared" si="92"/>
        <v>6.4691299868769851</v>
      </c>
      <c r="BC67" s="230">
        <f t="shared" si="93"/>
        <v>9.65</v>
      </c>
      <c r="BD67" s="230">
        <f t="shared" si="94"/>
        <v>11.73</v>
      </c>
      <c r="BE67" s="230">
        <f t="shared" si="95"/>
        <v>9.65</v>
      </c>
      <c r="BF67" s="230">
        <f t="shared" si="96"/>
        <v>8.8318153846153855</v>
      </c>
      <c r="BG67" s="230">
        <f t="shared" si="97"/>
        <v>9.9654538461538458</v>
      </c>
      <c r="BH67" s="230">
        <f t="shared" si="98"/>
        <v>1.2379797452084438</v>
      </c>
      <c r="BI67" s="230">
        <f t="shared" si="99"/>
        <v>12.422713148044336</v>
      </c>
      <c r="BK67" s="227">
        <f t="shared" si="208"/>
        <v>19.600000000000001</v>
      </c>
      <c r="BL67" s="227">
        <f t="shared" si="209"/>
        <v>31.73</v>
      </c>
      <c r="BM67" s="227">
        <f t="shared" si="210"/>
        <v>40.580824308516753</v>
      </c>
      <c r="BN67" s="227">
        <f t="shared" si="211"/>
        <v>22.942128668740231</v>
      </c>
      <c r="BO67" s="227">
        <f t="shared" si="212"/>
        <v>19.600000000000001</v>
      </c>
      <c r="BP67" s="227">
        <f t="shared" si="213"/>
        <v>26.109604516606296</v>
      </c>
      <c r="BQ67" s="227">
        <f t="shared" si="214"/>
        <v>31.86</v>
      </c>
      <c r="BR67" s="227">
        <f t="shared" si="100"/>
        <v>27.488936784837612</v>
      </c>
      <c r="BS67" s="227">
        <f t="shared" si="101"/>
        <v>7.6978027005517955</v>
      </c>
      <c r="BT67" s="227">
        <f t="shared" si="215"/>
        <v>28.00327550244781</v>
      </c>
      <c r="BV67" s="231">
        <f t="shared" si="102"/>
        <v>0.26</v>
      </c>
      <c r="BW67" s="231">
        <f t="shared" si="103"/>
        <v>0.309284716300749</v>
      </c>
      <c r="BX67" s="231">
        <f t="shared" si="104"/>
        <v>0.3263407785649598</v>
      </c>
      <c r="BY67" s="231">
        <f t="shared" si="105"/>
        <v>0.26</v>
      </c>
      <c r="BZ67" s="231">
        <f t="shared" si="106"/>
        <v>0.34054138735437572</v>
      </c>
      <c r="CA67" s="231">
        <f t="shared" si="107"/>
        <v>0.31302574319030479</v>
      </c>
      <c r="CB67" s="231">
        <f t="shared" si="108"/>
        <v>0.48</v>
      </c>
      <c r="CC67" s="231">
        <f t="shared" si="109"/>
        <v>0.45014439526840816</v>
      </c>
      <c r="CD67" s="231">
        <f t="shared" si="110"/>
        <v>0.34241712758484966</v>
      </c>
      <c r="CE67" s="231">
        <f t="shared" si="111"/>
        <v>8.1365976020685737E-2</v>
      </c>
      <c r="CF67" s="231">
        <f t="shared" si="216"/>
        <v>23.762238937806508</v>
      </c>
      <c r="CH67" s="232">
        <f t="shared" si="112"/>
        <v>1.4819802602906229</v>
      </c>
      <c r="CI67" s="232">
        <f t="shared" si="113"/>
        <v>1.52</v>
      </c>
      <c r="CJ67" s="232">
        <f t="shared" si="114"/>
        <v>2.1</v>
      </c>
      <c r="CK67" s="232">
        <f t="shared" si="115"/>
        <v>2.0027073127057302</v>
      </c>
      <c r="CL67" s="232">
        <f t="shared" si="116"/>
        <v>1.8491750441968433</v>
      </c>
      <c r="CM67" s="232">
        <f t="shared" si="117"/>
        <v>1.5451435557847744</v>
      </c>
      <c r="CN67" s="232">
        <f t="shared" si="118"/>
        <v>1.4848836484086652</v>
      </c>
      <c r="CO67" s="232">
        <f t="shared" si="119"/>
        <v>1.9008382708326612</v>
      </c>
      <c r="CP67" s="232">
        <f t="shared" si="120"/>
        <v>1.52</v>
      </c>
      <c r="CQ67" s="232">
        <f t="shared" si="121"/>
        <v>1.4871805641546492</v>
      </c>
      <c r="CR67" s="232">
        <f t="shared" si="122"/>
        <v>1.6891908656373946</v>
      </c>
      <c r="CS67" s="232">
        <f t="shared" si="123"/>
        <v>0.24516045321028493</v>
      </c>
      <c r="CT67" s="232">
        <f t="shared" si="217"/>
        <v>14.513484426034754</v>
      </c>
      <c r="CV67" s="229">
        <f t="shared" si="218"/>
        <v>0.83</v>
      </c>
      <c r="CW67" s="229">
        <f t="shared" si="219"/>
        <v>1.19</v>
      </c>
      <c r="CX67" s="229">
        <f t="shared" si="220"/>
        <v>0.79231511501868812</v>
      </c>
      <c r="CY67" s="229">
        <f t="shared" si="221"/>
        <v>0.51710390118835647</v>
      </c>
      <c r="CZ67" s="229">
        <f t="shared" si="222"/>
        <v>1.2089861073054575</v>
      </c>
      <c r="DA67" s="229">
        <f t="shared" si="223"/>
        <v>0.83</v>
      </c>
      <c r="DB67" s="229">
        <f t="shared" si="224"/>
        <v>0.55135222817626195</v>
      </c>
      <c r="DC67" s="229">
        <f t="shared" si="225"/>
        <v>0.89</v>
      </c>
      <c r="DD67" s="229">
        <f t="shared" si="226"/>
        <v>0.85121966896109547</v>
      </c>
      <c r="DE67" s="229">
        <f t="shared" si="227"/>
        <v>0.25360176167536236</v>
      </c>
      <c r="DF67" s="229">
        <f t="shared" si="228"/>
        <v>29.792751615441475</v>
      </c>
      <c r="DH67" s="234">
        <f t="shared" si="124"/>
        <v>9.3240000000000003E-2</v>
      </c>
      <c r="DI67" s="234">
        <f t="shared" si="125"/>
        <v>0.126</v>
      </c>
      <c r="DJ67" s="234">
        <f t="shared" si="126"/>
        <v>0.11271646865965029</v>
      </c>
      <c r="DK67" s="234">
        <f t="shared" si="229"/>
        <v>0.11065215621988343</v>
      </c>
      <c r="DL67" s="234">
        <f t="shared" si="230"/>
        <v>1.647727038640602E-2</v>
      </c>
      <c r="DM67" s="234">
        <f t="shared" si="231"/>
        <v>14.891052239111421</v>
      </c>
      <c r="DO67" s="229">
        <f t="shared" si="127"/>
        <v>2.38</v>
      </c>
      <c r="DP67" s="229">
        <f t="shared" si="128"/>
        <v>3.49</v>
      </c>
      <c r="DQ67" s="229">
        <f t="shared" si="129"/>
        <v>3.810582924553124</v>
      </c>
      <c r="DR67" s="229">
        <f t="shared" si="130"/>
        <v>2.9844925646134293</v>
      </c>
      <c r="DS67" s="229">
        <f t="shared" si="131"/>
        <v>2.6949182432729959</v>
      </c>
      <c r="DT67" s="229">
        <f t="shared" si="132"/>
        <v>2.38</v>
      </c>
      <c r="DU67" s="229">
        <f t="shared" si="133"/>
        <v>2.8475999999999999</v>
      </c>
      <c r="DV67" s="229">
        <f t="shared" si="134"/>
        <v>3.3983646819472222</v>
      </c>
      <c r="DW67" s="229">
        <f t="shared" si="232"/>
        <v>2.9982448017983465</v>
      </c>
      <c r="DX67" s="229">
        <f t="shared" si="233"/>
        <v>0.52660035951293693</v>
      </c>
      <c r="DY67" s="229">
        <f t="shared" si="234"/>
        <v>17.563621195877076</v>
      </c>
      <c r="EA67" s="235">
        <f t="shared" si="135"/>
        <v>0.14000000000000001</v>
      </c>
      <c r="EB67" s="235">
        <f t="shared" si="136"/>
        <v>0.21635528949155325</v>
      </c>
      <c r="EC67" s="235">
        <f t="shared" si="137"/>
        <v>0.14000000000000001</v>
      </c>
      <c r="ED67" s="235">
        <f t="shared" si="138"/>
        <v>0.17027054105443384</v>
      </c>
      <c r="EE67" s="235">
        <f t="shared" si="139"/>
        <v>0.13987240627299316</v>
      </c>
      <c r="EF67" s="235">
        <f t="shared" si="140"/>
        <v>0.16129964736379604</v>
      </c>
      <c r="EG67" s="235">
        <f t="shared" si="141"/>
        <v>3.3459218759991721E-2</v>
      </c>
      <c r="EH67" s="235">
        <f t="shared" si="235"/>
        <v>20.743516372684702</v>
      </c>
      <c r="EJ67" s="229">
        <f t="shared" si="142"/>
        <v>7.5426305676856105</v>
      </c>
      <c r="EK67" s="229">
        <f t="shared" si="143"/>
        <v>17.209482274026644</v>
      </c>
      <c r="EL67" s="229">
        <f t="shared" si="144"/>
        <v>6.91</v>
      </c>
      <c r="EM67" s="229">
        <f t="shared" si="145"/>
        <v>14.4</v>
      </c>
      <c r="EN67" s="229">
        <f t="shared" si="146"/>
        <v>22.625272644142942</v>
      </c>
      <c r="EO67" s="229">
        <f t="shared" si="236"/>
        <v>23.165429136895831</v>
      </c>
      <c r="EP67" s="229">
        <f t="shared" si="147"/>
        <v>21.463843215524133</v>
      </c>
      <c r="EQ67" s="229">
        <f t="shared" si="148"/>
        <v>16.18809397689645</v>
      </c>
      <c r="ER67" s="229">
        <f t="shared" si="149"/>
        <v>6.8680611612224176</v>
      </c>
      <c r="ES67" s="229">
        <f t="shared" si="237"/>
        <v>42.426620274285987</v>
      </c>
      <c r="EU67" s="238">
        <f t="shared" si="191"/>
        <v>1.6216242005184178E-2</v>
      </c>
      <c r="EV67" s="238">
        <f t="shared" si="151"/>
        <v>1.6216242005184178E-2</v>
      </c>
      <c r="EW67" s="238" t="e">
        <f t="shared" si="152"/>
        <v>#DIV/0!</v>
      </c>
      <c r="EX67" s="238" t="e">
        <f t="shared" si="238"/>
        <v>#DIV/0!</v>
      </c>
      <c r="EZ67" s="240">
        <f t="shared" si="153"/>
        <v>2.7729773828864945E-2</v>
      </c>
      <c r="FA67" s="240">
        <f t="shared" si="154"/>
        <v>2.7729773828864945E-2</v>
      </c>
      <c r="FB67" s="240" t="e">
        <f t="shared" si="155"/>
        <v>#DIV/0!</v>
      </c>
      <c r="FC67" s="240" t="e">
        <f t="shared" si="239"/>
        <v>#DIV/0!</v>
      </c>
      <c r="FE67" s="236">
        <f t="shared" si="156"/>
        <v>0.9</v>
      </c>
      <c r="FF67" s="236">
        <f t="shared" si="157"/>
        <v>1.2</v>
      </c>
      <c r="FG67" s="236">
        <f t="shared" si="158"/>
        <v>1.3324963150972753</v>
      </c>
      <c r="FH67" s="236">
        <f t="shared" si="159"/>
        <v>1.3378399654276947</v>
      </c>
      <c r="FI67" s="236">
        <f t="shared" si="160"/>
        <v>0.9</v>
      </c>
      <c r="FJ67" s="236">
        <f t="shared" si="161"/>
        <v>1.1351369403628924</v>
      </c>
      <c r="FK67" s="236">
        <f t="shared" si="240"/>
        <v>1.1342455368146438</v>
      </c>
      <c r="FL67" s="236">
        <f t="shared" si="241"/>
        <v>0.19739323672111173</v>
      </c>
      <c r="FM67" s="236">
        <f t="shared" si="242"/>
        <v>17.403042843391798</v>
      </c>
      <c r="FO67" s="227">
        <f t="shared" si="162"/>
        <v>0.3</v>
      </c>
      <c r="FP67" s="227">
        <f t="shared" si="163"/>
        <v>0.32</v>
      </c>
      <c r="FQ67" s="227">
        <f t="shared" si="164"/>
        <v>0.35387866038341992</v>
      </c>
      <c r="FR67" s="227">
        <f t="shared" si="165"/>
        <v>0.3</v>
      </c>
      <c r="FS67" s="227">
        <f t="shared" si="166"/>
        <v>0.36486544511664393</v>
      </c>
      <c r="FT67" s="227">
        <f t="shared" si="243"/>
        <v>0.3277488211000128</v>
      </c>
      <c r="FU67" s="227">
        <f t="shared" si="244"/>
        <v>3.0250829131982813E-2</v>
      </c>
      <c r="FV67" s="227">
        <f t="shared" si="245"/>
        <v>9.2298819048236176</v>
      </c>
      <c r="FX67" s="230">
        <f t="shared" si="167"/>
        <v>2.94</v>
      </c>
      <c r="FY67" s="230">
        <f t="shared" si="168"/>
        <v>1.7027054105443387</v>
      </c>
      <c r="FZ67" s="230">
        <f t="shared" si="169"/>
        <v>2.94</v>
      </c>
      <c r="GA67" s="230">
        <f t="shared" si="170"/>
        <v>4.0515297648034831</v>
      </c>
      <c r="GB67" s="230">
        <f t="shared" si="246"/>
        <v>2.9085587938369555</v>
      </c>
      <c r="GC67" s="230">
        <f t="shared" si="247"/>
        <v>0.95959055875590216</v>
      </c>
      <c r="GD67" s="230">
        <f t="shared" si="248"/>
        <v>32.991960169043558</v>
      </c>
      <c r="GF67" s="231">
        <f t="shared" si="171"/>
        <v>0.06</v>
      </c>
      <c r="GG67" s="231">
        <f t="shared" si="172"/>
        <v>0.05</v>
      </c>
      <c r="GH67" s="231">
        <f t="shared" si="173"/>
        <v>0.06</v>
      </c>
      <c r="GI67" s="231">
        <f t="shared" si="174"/>
        <v>6.4864968020736713E-2</v>
      </c>
      <c r="GJ67" s="245">
        <f t="shared" si="187"/>
        <v>5.8716242005184174E-2</v>
      </c>
      <c r="GK67" s="231">
        <f t="shared" si="188"/>
        <v>6.247019969174014E-3</v>
      </c>
      <c r="GL67" s="231">
        <f t="shared" si="249"/>
        <v>10.639338887905074</v>
      </c>
      <c r="GN67" s="246">
        <f t="shared" si="175"/>
        <v>0.18</v>
      </c>
      <c r="GO67" s="246">
        <f t="shared" si="176"/>
        <v>0.18</v>
      </c>
      <c r="GP67" s="246">
        <f t="shared" si="177"/>
        <v>0.17027054105443384</v>
      </c>
      <c r="GQ67" s="247">
        <f t="shared" si="189"/>
        <v>0.17675684701814462</v>
      </c>
      <c r="GR67" s="246">
        <f t="shared" si="190"/>
        <v>5.617305741292029E-3</v>
      </c>
      <c r="GS67" s="246">
        <f t="shared" si="250"/>
        <v>3.1779848057118802</v>
      </c>
      <c r="GU67" s="249">
        <f t="shared" si="178"/>
        <v>2.2216251547102321E-2</v>
      </c>
      <c r="GV67" s="249">
        <f t="shared" si="179"/>
        <v>2.2216251547102321E-2</v>
      </c>
      <c r="GW67" s="249" t="e">
        <f t="shared" si="180"/>
        <v>#DIV/0!</v>
      </c>
      <c r="GX67" s="249" t="e">
        <f t="shared" si="251"/>
        <v>#DIV/0!</v>
      </c>
      <c r="GZ67" s="240">
        <f t="shared" si="181"/>
        <v>2.4324363007776267E-2</v>
      </c>
      <c r="HA67" s="240">
        <f t="shared" si="182"/>
        <v>2.4324363007776267E-2</v>
      </c>
      <c r="HB67" s="240" t="e">
        <f t="shared" si="183"/>
        <v>#DIV/0!</v>
      </c>
      <c r="HC67" s="240" t="e">
        <f t="shared" si="252"/>
        <v>#DIV/0!</v>
      </c>
      <c r="HE67" s="234">
        <f t="shared" si="184"/>
        <v>9.6056439930845838E-2</v>
      </c>
      <c r="HF67" s="251">
        <f t="shared" si="185"/>
        <v>9.6056439930845838E-2</v>
      </c>
      <c r="HG67" s="234" t="e">
        <f t="shared" si="186"/>
        <v>#DIV/0!</v>
      </c>
      <c r="HH67" s="234" t="e">
        <f t="shared" si="253"/>
        <v>#DIV/0!</v>
      </c>
    </row>
    <row r="68" spans="2:216" ht="15.6" x14ac:dyDescent="0.25">
      <c r="B68">
        <v>64</v>
      </c>
      <c r="C68" s="124">
        <f t="shared" si="52"/>
        <v>81.221948974824045</v>
      </c>
      <c r="D68" s="124">
        <f t="shared" si="53"/>
        <v>172.79202664243053</v>
      </c>
      <c r="E68" s="29">
        <f t="shared" ref="E68:E84" si="254">EXP(-3.75+0.42*LN(D68)+0.52*LN(C68))</f>
        <v>2.0145860277578329</v>
      </c>
      <c r="F68" s="29">
        <f t="shared" ref="F68:F84" si="255">0.007184*C68^0.425*D68^0.725</f>
        <v>1.9506628040209577</v>
      </c>
      <c r="G68" s="29">
        <f t="shared" ref="G68:G84" si="256">(C68^0.515*D68^0.422)*234.9/10000</f>
        <v>1.9888398892844932</v>
      </c>
      <c r="H68" s="29">
        <f t="shared" ref="H68:H84" si="257">EXP(-3.75 + 0.42 * LN(D68) + 0.52 * LN(C68) )</f>
        <v>2.0145860277578329</v>
      </c>
      <c r="I68" s="29">
        <f t="shared" ref="I68:I84" si="258">IF(B68&lt;18, 0.024265 *C68^0.5378 * D68^0.3964, SQRT(C68* D68/3600))</f>
        <v>1.9744552815064891</v>
      </c>
      <c r="J68" s="125">
        <f t="shared" ref="J68:J84" si="259">AVERAGE(E68:I68)</f>
        <v>1.988626006065521</v>
      </c>
      <c r="K68" s="126">
        <f t="shared" si="207"/>
        <v>2.7340013453573193E-2</v>
      </c>
      <c r="L68" s="126">
        <f t="shared" si="55"/>
        <v>1.3748192656730447</v>
      </c>
      <c r="N68" s="138">
        <f t="shared" si="56"/>
        <v>417.61146127375952</v>
      </c>
      <c r="O68" s="138">
        <f t="shared" si="57"/>
        <v>325.79239999999999</v>
      </c>
      <c r="P68" s="138">
        <f t="shared" si="58"/>
        <v>331.04658592290082</v>
      </c>
      <c r="Q68" s="138">
        <f t="shared" si="59"/>
        <v>428.99271069927642</v>
      </c>
      <c r="R68" s="138">
        <f t="shared" si="60"/>
        <v>417.61146127375952</v>
      </c>
      <c r="S68" s="138">
        <f t="shared" si="61"/>
        <v>345.53279999999995</v>
      </c>
      <c r="T68" s="138">
        <f t="shared" si="62"/>
        <v>377.76456986161594</v>
      </c>
      <c r="U68" s="138">
        <f t="shared" si="63"/>
        <v>48.41990370899272</v>
      </c>
      <c r="V68" s="138">
        <f t="shared" si="64"/>
        <v>12.817481461199517</v>
      </c>
      <c r="X68" s="227">
        <f t="shared" si="65"/>
        <v>0.4388749616</v>
      </c>
      <c r="Y68" s="227">
        <f t="shared" si="66"/>
        <v>0.47</v>
      </c>
      <c r="Z68" s="227">
        <f t="shared" si="67"/>
        <v>0.4388749616</v>
      </c>
      <c r="AA68" s="227">
        <f t="shared" si="68"/>
        <v>0.44924997440000003</v>
      </c>
      <c r="AB68" s="227">
        <f t="shared" si="69"/>
        <v>1.7970049298777421E-2</v>
      </c>
      <c r="AC68" s="227">
        <f t="shared" si="70"/>
        <v>4.0000112015092455</v>
      </c>
      <c r="AE68" s="228">
        <f t="shared" si="71"/>
        <v>4.4423408005157503</v>
      </c>
      <c r="AF68" s="228">
        <f t="shared" si="72"/>
        <v>5.2850000000000001</v>
      </c>
      <c r="AG68" s="228">
        <f t="shared" si="73"/>
        <v>4.4423408005157503</v>
      </c>
      <c r="AH68" s="228">
        <f t="shared" si="74"/>
        <v>7.283300221720701</v>
      </c>
      <c r="AI68" s="228">
        <f t="shared" si="75"/>
        <v>5.2850000000000001</v>
      </c>
      <c r="AJ68" s="228">
        <f t="shared" si="76"/>
        <v>6.1809903169841096</v>
      </c>
      <c r="AK68" s="228">
        <f t="shared" si="77"/>
        <v>5.4831364152813062</v>
      </c>
      <c r="AL68" s="228">
        <f t="shared" si="78"/>
        <v>5.4860155078596602</v>
      </c>
      <c r="AM68" s="228">
        <f t="shared" si="79"/>
        <v>0.99771061898972269</v>
      </c>
      <c r="AN68" s="228">
        <f t="shared" si="80"/>
        <v>18.186434536328427</v>
      </c>
      <c r="AP68" s="229">
        <f t="shared" si="192"/>
        <v>1.4232760909976099</v>
      </c>
      <c r="AQ68" s="229">
        <f t="shared" si="193"/>
        <v>1.4</v>
      </c>
      <c r="AR68" s="229">
        <f t="shared" si="194"/>
        <v>1.47</v>
      </c>
      <c r="AS68" s="229">
        <f t="shared" si="195"/>
        <v>1.340919360874032</v>
      </c>
      <c r="AT68" s="229">
        <f t="shared" si="196"/>
        <v>1.4232760909976099</v>
      </c>
      <c r="AU68" s="229">
        <f t="shared" si="197"/>
        <v>1.1835128776330681</v>
      </c>
      <c r="AV68" s="229">
        <f t="shared" si="198"/>
        <v>1.4</v>
      </c>
      <c r="AW68" s="229">
        <f t="shared" si="199"/>
        <v>1.4499999999993518</v>
      </c>
      <c r="AX68" s="229">
        <f t="shared" si="200"/>
        <v>1.3715466329652624</v>
      </c>
      <c r="AY68" s="229">
        <f t="shared" si="90"/>
        <v>1.3847256726074373</v>
      </c>
      <c r="AZ68" s="229">
        <f t="shared" si="91"/>
        <v>8.4816417407243244E-2</v>
      </c>
      <c r="BA68" s="229">
        <f t="shared" si="92"/>
        <v>6.1251422635599733</v>
      </c>
      <c r="BC68" s="230">
        <f t="shared" si="93"/>
        <v>9.65</v>
      </c>
      <c r="BD68" s="230">
        <f t="shared" si="94"/>
        <v>11.73</v>
      </c>
      <c r="BE68" s="230">
        <f t="shared" si="95"/>
        <v>9.65</v>
      </c>
      <c r="BF68" s="230">
        <f t="shared" si="96"/>
        <v>8.8259692307692301</v>
      </c>
      <c r="BG68" s="230">
        <f t="shared" si="97"/>
        <v>9.9639923076923083</v>
      </c>
      <c r="BH68" s="230">
        <f t="shared" si="98"/>
        <v>1.2397663800731793</v>
      </c>
      <c r="BI68" s="230">
        <f t="shared" si="99"/>
        <v>12.442466250360978</v>
      </c>
      <c r="BK68" s="227">
        <f t="shared" ref="BK68:BK84" si="260">IF(B68 &lt; 18,  (0.535 * B68^3 + 56.937 * B68^2 - 124.25 * B68 + 1051.3) / 1040,19.6)</f>
        <v>19.600000000000001</v>
      </c>
      <c r="BL68" s="227">
        <f t="shared" ref="BL68:BL84" si="261">IF(B68 &lt; 18,  (1.26*10^(-1) * (B68 * 365.25 * 24) + 7.76*10^(-6) * (B68 * 365.25 * 24)^(1.76) + 9.5*10^(-2))/1000,31.73)</f>
        <v>31.73</v>
      </c>
      <c r="BM68" s="227">
        <f t="shared" ref="BM68:BM84" si="262">IF(B68 &lt; 3, 9.561*10^(-2) * C68 + 1.601*10^(-2) * D68 + 1.097*10^(-1) * B68, IF( B68 &lt; 18, 2.789*10^(-1) * C68 - 6.358*10^(-2) * D68 + 9.85*10^(-1) * B68 + 2.167, 2.598*10^(-1) * C68 + 1.206*10^(-1) * D68 - 4.3*10^(-3) * B68 - 1.11))</f>
        <v>40.554980756736413</v>
      </c>
      <c r="BN68" s="227">
        <f t="shared" ref="BN68:BN84" si="263">(0.1251 + 0.00001458 * (C68*1000) - 0.0000000002927 *(C68*1000)^2 + 0.000000000000002114 * (C68*1000)^3 - 5.25E-21 * (C68*1000)^4) * C68</f>
        <v>22.954705961843665</v>
      </c>
      <c r="BO68" s="227">
        <f t="shared" ref="BO68:BO84" si="264">IF(B68 &lt; 18, (0.535 * B68^3 + 56.937 * B68^2 - 124.25*B68 + 1051.3) / 1040, 19.6)</f>
        <v>19.600000000000001</v>
      </c>
      <c r="BP68" s="227">
        <f t="shared" ref="BP68:BP84" si="265">IF(B68 &lt;= 24.3, (0.3973 + (0.201 - 0.3973) * EXP(-0.141 * B68)) * C68,  (0.3973 + (0.201 - 0.3973) * EXP(-0.141 *B68)) * C68 * (-0.0001264 * B68^2 + 0.006131 * B68 + 0.926) )</f>
        <v>25.835008493712404</v>
      </c>
      <c r="BQ68" s="227">
        <f t="shared" ref="BQ68:BQ84" si="266">IF(B68 &lt; 19, (12.4 /(1 + (6.5 * EXP(-0.55 * B68)))) + (19.7 / (1 + EXP(-0.85 * (B68 - 13.7)))), 31.86)</f>
        <v>31.86</v>
      </c>
      <c r="BR68" s="227">
        <f t="shared" si="100"/>
        <v>27.447813601756064</v>
      </c>
      <c r="BS68" s="227">
        <f t="shared" si="101"/>
        <v>7.6981367142417074</v>
      </c>
      <c r="BT68" s="227">
        <f t="shared" ref="BT68:BT99" si="267">(BS68/BR68)*100</f>
        <v>28.04644780066997</v>
      </c>
      <c r="BV68" s="231">
        <f t="shared" si="102"/>
        <v>0.26</v>
      </c>
      <c r="BW68" s="231">
        <f t="shared" si="103"/>
        <v>0.30928124336085899</v>
      </c>
      <c r="BX68" s="231">
        <f t="shared" si="104"/>
        <v>0.3267603092101582</v>
      </c>
      <c r="BY68" s="231">
        <f t="shared" si="105"/>
        <v>0.26</v>
      </c>
      <c r="BZ68" s="231">
        <f t="shared" si="106"/>
        <v>0.34113243157599643</v>
      </c>
      <c r="CA68" s="231">
        <f t="shared" si="107"/>
        <v>0.3124270865652865</v>
      </c>
      <c r="CB68" s="231">
        <f t="shared" si="108"/>
        <v>0.48</v>
      </c>
      <c r="CC68" s="231">
        <f t="shared" si="109"/>
        <v>0.44821240820548264</v>
      </c>
      <c r="CD68" s="231">
        <f t="shared" si="110"/>
        <v>0.34222668486472285</v>
      </c>
      <c r="CE68" s="231">
        <f t="shared" si="111"/>
        <v>8.1020931743376032E-2</v>
      </c>
      <c r="CF68" s="231">
        <f t="shared" ref="CF68:CF99" si="268">(CE68/CD68)*100</f>
        <v>23.674638865581858</v>
      </c>
      <c r="CH68" s="232">
        <f t="shared" si="112"/>
        <v>1.4810606446032502</v>
      </c>
      <c r="CI68" s="232">
        <f t="shared" si="113"/>
        <v>1.52</v>
      </c>
      <c r="CJ68" s="232">
        <f t="shared" si="114"/>
        <v>2.1</v>
      </c>
      <c r="CK68" s="232">
        <f t="shared" si="115"/>
        <v>2.0061832875986481</v>
      </c>
      <c r="CL68" s="232">
        <f t="shared" si="116"/>
        <v>1.8484260701197666</v>
      </c>
      <c r="CM68" s="232">
        <f t="shared" si="117"/>
        <v>1.5472351365912995</v>
      </c>
      <c r="CN68" s="232">
        <f t="shared" si="118"/>
        <v>1.4839622310770118</v>
      </c>
      <c r="CO68" s="232">
        <f t="shared" si="119"/>
        <v>1.903962137194062</v>
      </c>
      <c r="CP68" s="232">
        <f t="shared" si="120"/>
        <v>1.52</v>
      </c>
      <c r="CQ68" s="232">
        <f t="shared" si="121"/>
        <v>1.4857262357867767</v>
      </c>
      <c r="CR68" s="232">
        <f t="shared" si="122"/>
        <v>1.6896555742970816</v>
      </c>
      <c r="CS68" s="232">
        <f t="shared" si="123"/>
        <v>0.24607272961432561</v>
      </c>
      <c r="CT68" s="232">
        <f t="shared" ref="CT68:CT99" si="269">(CS68/CR68)*100</f>
        <v>14.563484615300668</v>
      </c>
      <c r="CV68" s="229">
        <f t="shared" ref="CV68:CV84" si="270">IF(B68 &lt; 18, (-0.0346 * B68^4 + 1.5069 * B68^3 - 20.31 * B68^2 + 123.99 * B68 + 59.213) / 1050, 0.83)</f>
        <v>0.83</v>
      </c>
      <c r="CW68" s="229">
        <f t="shared" ref="CW68:CW84" si="271">IF(B68&lt; 18, (9.74*10^(-2) * (B68*365.25*24) + 6.33*10^(-2) * (B68 * 365.25*24)^(9.98*10^-1) + 3.8*10^1) / 25000, 1.19)</f>
        <v>1.19</v>
      </c>
      <c r="CX68" s="229">
        <f t="shared" ref="CX68:CX84" si="272">-1.454*10^(-2) + 7.269*10^(-4) * B68+ 9.329*10^(-6) * B68^2 + 6.43*10^(-3) * C68 + 3.083*10^-5 * C68^2</f>
        <v>0.79583597991225941</v>
      </c>
      <c r="CY68" s="229">
        <f t="shared" ref="CY68:CY84" si="273">EXP(-2.092 * ((D68/100)^(-2.1)))</f>
        <v>0.51510768832378417</v>
      </c>
      <c r="CZ68" s="229">
        <f t="shared" ref="CZ68:CZ84" si="274">(1.86*10^(-2) - 4.55*10^(-8) * C68*1000) * C68</f>
        <v>1.2105645236469915</v>
      </c>
      <c r="DA68" s="229">
        <f t="shared" ref="DA68:DA84" si="275">IF(B68 &lt; 18, (-0.0346 * B68^4 + 1.5069 * B68^3 - 20.31 *B68^2 + 123.99 * B68 + 59.213) / 1050, 0.83)</f>
        <v>0.83</v>
      </c>
      <c r="DB68" s="229">
        <f t="shared" ref="DB68:DB84" si="276">0.0068 * C68</f>
        <v>0.55230925302880352</v>
      </c>
      <c r="DC68" s="229">
        <f t="shared" ref="DC68:DC84" si="277">IF(B68 &lt; 18, ((29.08 * (D68/100) * SQRT(C68) + 11.06) + (35.47 * (D68/100) * SQRT(C68) + 5.53)) / 1050, 0.89)</f>
        <v>0.89</v>
      </c>
      <c r="DD68" s="229">
        <f t="shared" ref="DD68:DD99" si="278">AVERAGE(CV68:DC68)</f>
        <v>0.85172718061397978</v>
      </c>
      <c r="DE68" s="229">
        <f t="shared" ref="DE68:DE84" si="279">STDEV(CV68:DC68)</f>
        <v>0.25402173495700536</v>
      </c>
      <c r="DF68" s="229">
        <f t="shared" ref="DF68:DF99" si="280">(DE68/DD68)*100</f>
        <v>29.824307681937562</v>
      </c>
      <c r="DH68" s="234">
        <f t="shared" si="124"/>
        <v>9.4719999999999999E-2</v>
      </c>
      <c r="DI68" s="234">
        <f t="shared" si="125"/>
        <v>0.128</v>
      </c>
      <c r="DJ68" s="234">
        <f t="shared" si="126"/>
        <v>0.11249910234550485</v>
      </c>
      <c r="DK68" s="234">
        <f t="shared" ref="DK68:DK99" si="281">AVERAGE(DH68:DJ68)</f>
        <v>0.11173970078183494</v>
      </c>
      <c r="DL68" s="234">
        <f t="shared" ref="DL68:DL84" si="282">STDEV(DH68:DJ68)</f>
        <v>1.6652991264369789E-2</v>
      </c>
      <c r="DM68" s="234">
        <f t="shared" ref="DM68:DM99" si="283">(DL68/DK68)*100</f>
        <v>14.903379146221052</v>
      </c>
      <c r="DO68" s="229">
        <f t="shared" si="127"/>
        <v>2.38</v>
      </c>
      <c r="DP68" s="229">
        <f t="shared" si="128"/>
        <v>3.49</v>
      </c>
      <c r="DQ68" s="229">
        <f t="shared" si="129"/>
        <v>3.8085952345209431</v>
      </c>
      <c r="DR68" s="229">
        <f t="shared" si="130"/>
        <v>2.9829390090982817</v>
      </c>
      <c r="DS68" s="229">
        <f t="shared" si="131"/>
        <v>2.6986780924620253</v>
      </c>
      <c r="DT68" s="229">
        <f t="shared" si="132"/>
        <v>2.38</v>
      </c>
      <c r="DU68" s="229">
        <f t="shared" si="133"/>
        <v>2.8927999999999998</v>
      </c>
      <c r="DV68" s="229">
        <f t="shared" si="134"/>
        <v>3.3925972754340568</v>
      </c>
      <c r="DW68" s="229">
        <f t="shared" ref="DW68:DW99" si="284">AVERAGE(DO68:DV68)</f>
        <v>3.0032012014394134</v>
      </c>
      <c r="DX68" s="229">
        <f t="shared" ref="DX68:DX84" si="285">STDEV(DO68:DV68)</f>
        <v>0.52363491941507823</v>
      </c>
      <c r="DY68" s="229">
        <f t="shared" ref="DY68:DY99" si="286">(DX68/DW68)*100</f>
        <v>17.435892046263955</v>
      </c>
      <c r="EA68" s="235">
        <f t="shared" si="135"/>
        <v>0.14000000000000001</v>
      </c>
      <c r="EB68" s="235">
        <f t="shared" si="136"/>
        <v>0.21666716297780317</v>
      </c>
      <c r="EC68" s="235">
        <f t="shared" si="137"/>
        <v>0.14000000000000001</v>
      </c>
      <c r="ED68" s="235">
        <f t="shared" si="138"/>
        <v>0.17056609284713048</v>
      </c>
      <c r="EE68" s="235">
        <f t="shared" si="139"/>
        <v>0.13962456949118643</v>
      </c>
      <c r="EF68" s="235">
        <f t="shared" si="140"/>
        <v>0.161371565063224</v>
      </c>
      <c r="EG68" s="235">
        <f t="shared" si="141"/>
        <v>3.3647295184060892E-2</v>
      </c>
      <c r="EH68" s="235">
        <f t="shared" ref="EH68:EH99" si="287">(EG68/EF68)*100</f>
        <v>20.850820385163995</v>
      </c>
      <c r="EJ68" s="229">
        <f t="shared" si="142"/>
        <v>7.5426305676856105</v>
      </c>
      <c r="EK68" s="229">
        <f t="shared" si="143"/>
        <v>17.316656709962732</v>
      </c>
      <c r="EL68" s="229">
        <f t="shared" si="144"/>
        <v>6.91</v>
      </c>
      <c r="EM68" s="229">
        <f t="shared" si="145"/>
        <v>14.4</v>
      </c>
      <c r="EN68" s="229">
        <f t="shared" si="146"/>
        <v>22.684652282992907</v>
      </c>
      <c r="EO68" s="229">
        <f t="shared" si="236"/>
        <v>23.398677033767999</v>
      </c>
      <c r="EP68" s="229">
        <f t="shared" si="147"/>
        <v>21.563311429311803</v>
      </c>
      <c r="EQ68" s="229">
        <f t="shared" si="148"/>
        <v>16.259418289103007</v>
      </c>
      <c r="ER68" s="229">
        <f t="shared" si="149"/>
        <v>6.9324494194515802</v>
      </c>
      <c r="ES68" s="229">
        <f t="shared" ref="ES68:ES99" si="288">(ER68/EQ68)*100</f>
        <v>42.636515625517049</v>
      </c>
      <c r="EU68" s="238">
        <f t="shared" si="191"/>
        <v>1.6244389794964811E-2</v>
      </c>
      <c r="EV68" s="238">
        <f t="shared" si="151"/>
        <v>1.6244389794964811E-2</v>
      </c>
      <c r="EW68" s="238" t="e">
        <f t="shared" si="152"/>
        <v>#DIV/0!</v>
      </c>
      <c r="EX68" s="238" t="e">
        <f t="shared" ref="EX68:EX99" si="289">(EW68/EV68)*100</f>
        <v>#DIV/0!</v>
      </c>
      <c r="EZ68" s="240">
        <f t="shared" si="153"/>
        <v>2.7777906549389823E-2</v>
      </c>
      <c r="FA68" s="240">
        <f t="shared" si="154"/>
        <v>2.7777906549389823E-2</v>
      </c>
      <c r="FB68" s="240" t="e">
        <f t="shared" si="155"/>
        <v>#DIV/0!</v>
      </c>
      <c r="FC68" s="240" t="e">
        <f t="shared" ref="FC68:FC99" si="290">(FB68/FA68)*100</f>
        <v>#DIV/0!</v>
      </c>
      <c r="FE68" s="236">
        <f t="shared" si="156"/>
        <v>0.9</v>
      </c>
      <c r="FF68" s="236">
        <f t="shared" si="157"/>
        <v>1.2</v>
      </c>
      <c r="FG68" s="236">
        <f t="shared" si="158"/>
        <v>1.333704387375181</v>
      </c>
      <c r="FH68" s="236">
        <f t="shared" si="159"/>
        <v>1.3401621580845968</v>
      </c>
      <c r="FI68" s="236">
        <f t="shared" si="160"/>
        <v>0.9</v>
      </c>
      <c r="FJ68" s="236">
        <f t="shared" si="161"/>
        <v>1.1371072856475366</v>
      </c>
      <c r="FK68" s="236">
        <f t="shared" ref="FK68:FK99" si="291">AVERAGE(FE68:FJ68)</f>
        <v>1.1351623051845525</v>
      </c>
      <c r="FL68" s="236">
        <f t="shared" ref="FL68:FL84" si="292">STDEV(FE68:FJ68)</f>
        <v>0.19811826128201196</v>
      </c>
      <c r="FM68" s="236">
        <f t="shared" ref="FM68:FM99" si="293">(FL68/FK68)*100</f>
        <v>17.452857655434766</v>
      </c>
      <c r="FO68" s="227">
        <f t="shared" si="162"/>
        <v>0.3</v>
      </c>
      <c r="FP68" s="227">
        <f t="shared" si="163"/>
        <v>0.32</v>
      </c>
      <c r="FQ68" s="227">
        <f t="shared" si="164"/>
        <v>0.35328565625759561</v>
      </c>
      <c r="FR68" s="227">
        <f t="shared" si="165"/>
        <v>0.3</v>
      </c>
      <c r="FS68" s="227">
        <f t="shared" si="166"/>
        <v>0.36549877038670819</v>
      </c>
      <c r="FT68" s="227">
        <f t="shared" ref="FT68:FT99" si="294">AVERAGE(FO68:FS68)</f>
        <v>0.32775688532886071</v>
      </c>
      <c r="FU68" s="227">
        <f t="shared" ref="FU68:FU84" si="295">STDEV(FO68:FS68)</f>
        <v>3.0320070370860507E-2</v>
      </c>
      <c r="FV68" s="227">
        <f t="shared" ref="FV68:FV99" si="296">(FU68/FT68)*100</f>
        <v>9.2507806023474757</v>
      </c>
      <c r="FX68" s="230">
        <f t="shared" si="167"/>
        <v>2.94</v>
      </c>
      <c r="FY68" s="230">
        <f t="shared" si="168"/>
        <v>1.7056609284713051</v>
      </c>
      <c r="FZ68" s="230">
        <f t="shared" si="169"/>
        <v>2.94</v>
      </c>
      <c r="GA68" s="230">
        <f t="shared" si="170"/>
        <v>4.058830930958977</v>
      </c>
      <c r="GB68" s="230">
        <f t="shared" ref="GB68:GB99" si="297">AVERAGE(FW68:GA68)</f>
        <v>2.9111229648575705</v>
      </c>
      <c r="GC68" s="230">
        <f t="shared" ref="GC68:GC84" si="298">STDEV(FW68:GA68)</f>
        <v>0.96125613356316009</v>
      </c>
      <c r="GD68" s="230">
        <f t="shared" ref="GD68:GD99" si="299">(GC68/GB68)*100</f>
        <v>33.020114408330755</v>
      </c>
      <c r="GF68" s="231">
        <f t="shared" si="171"/>
        <v>0.06</v>
      </c>
      <c r="GG68" s="231">
        <f t="shared" si="172"/>
        <v>0.05</v>
      </c>
      <c r="GH68" s="231">
        <f t="shared" si="173"/>
        <v>0.06</v>
      </c>
      <c r="GI68" s="231">
        <f t="shared" si="174"/>
        <v>6.4977559179859243E-2</v>
      </c>
      <c r="GJ68" s="245">
        <f t="shared" si="187"/>
        <v>5.874438979496481E-2</v>
      </c>
      <c r="GK68" s="231">
        <f t="shared" si="188"/>
        <v>6.28410342162526E-3</v>
      </c>
      <c r="GL68" s="231">
        <f t="shared" ref="GL68:GL99" si="300">(GK68/GJ68)*100</f>
        <v>10.69736777172872</v>
      </c>
      <c r="GN68" s="246">
        <f t="shared" si="175"/>
        <v>0.18</v>
      </c>
      <c r="GO68" s="246">
        <f t="shared" si="176"/>
        <v>0.18</v>
      </c>
      <c r="GP68" s="246">
        <f t="shared" si="177"/>
        <v>0.17056609284713048</v>
      </c>
      <c r="GQ68" s="247">
        <f t="shared" si="189"/>
        <v>0.17685536428237683</v>
      </c>
      <c r="GR68" s="246">
        <f t="shared" si="190"/>
        <v>5.4466688342191495E-3</v>
      </c>
      <c r="GS68" s="246">
        <f t="shared" ref="GS68:GS99" si="301">(GR68/GQ68)*100</f>
        <v>3.0797306354376133</v>
      </c>
      <c r="GU68" s="249">
        <f t="shared" si="178"/>
        <v>2.2254814019101787E-2</v>
      </c>
      <c r="GV68" s="249">
        <f t="shared" si="179"/>
        <v>2.2254814019101787E-2</v>
      </c>
      <c r="GW68" s="249" t="e">
        <f t="shared" si="180"/>
        <v>#DIV/0!</v>
      </c>
      <c r="GX68" s="249" t="e">
        <f t="shared" ref="GX68:GX99" si="302">(GW68/GV68)*100</f>
        <v>#DIV/0!</v>
      </c>
      <c r="GZ68" s="240">
        <f t="shared" si="181"/>
        <v>2.4366584692447214E-2</v>
      </c>
      <c r="HA68" s="240">
        <f t="shared" si="182"/>
        <v>2.4366584692447214E-2</v>
      </c>
      <c r="HB68" s="240" t="e">
        <f t="shared" si="183"/>
        <v>#DIV/0!</v>
      </c>
      <c r="HC68" s="240" t="e">
        <f t="shared" ref="HC68:HC99" si="303">(HB68/HA68)*100</f>
        <v>#DIV/0!</v>
      </c>
      <c r="HE68" s="234">
        <f t="shared" si="184"/>
        <v>9.6223919280040593E-2</v>
      </c>
      <c r="HF68" s="251">
        <f t="shared" si="185"/>
        <v>9.6223919280040593E-2</v>
      </c>
      <c r="HG68" s="234" t="e">
        <f t="shared" si="186"/>
        <v>#DIV/0!</v>
      </c>
      <c r="HH68" s="234" t="e">
        <f t="shared" ref="HH68:HH99" si="304">(HG68/HF68)*100</f>
        <v>#DIV/0!</v>
      </c>
    </row>
    <row r="69" spans="2:216" ht="15.6" x14ac:dyDescent="0.25">
      <c r="B69">
        <v>65</v>
      </c>
      <c r="C69" s="124">
        <f t="shared" ref="C69:C84" si="305">3.938425 + 0.7518199*B69*12 - 0.02023793*(B69*12)^2 + 0.0002921682*(B69*12)^3 - 0.00000206762*(B69*12)^4 + 0.000000008469*(B69*12)^5 - 0.00000000002188427*(B69*12)^6 + 3.699776E-14*(B69*12)^7 - 4.099077E-17*(B69*12)^8 + 2.874804E-20*(B69*12)^9 - 1.159732E-23*(B69*12)^10 + 2.052602E-27*(B69*12)^11</f>
        <v>81.364667494082823</v>
      </c>
      <c r="D69" s="124">
        <f t="shared" ref="D69:D84" si="306">64.35+0.8146*B69*12 - 0.0007474*(B69*12)^2 - 0.000006322*(B69*12)^3 + 0.00000001903*(B69*12)^4 - 0.00000000001995*(B69*12)^5 + 0.000000000000007297*(B69*12)^6</f>
        <v>172.23587497708854</v>
      </c>
      <c r="E69" s="29">
        <f t="shared" si="254"/>
        <v>2.0136976141494727</v>
      </c>
      <c r="F69" s="29">
        <f t="shared" si="255"/>
        <v>1.9475615101396613</v>
      </c>
      <c r="G69" s="29">
        <f t="shared" si="256"/>
        <v>1.9879325617446462</v>
      </c>
      <c r="H69" s="29">
        <f t="shared" si="257"/>
        <v>2.0136976141494727</v>
      </c>
      <c r="I69" s="29">
        <f t="shared" si="258"/>
        <v>1.9730063565015044</v>
      </c>
      <c r="J69" s="125">
        <f t="shared" si="259"/>
        <v>1.9871791313369513</v>
      </c>
      <c r="K69" s="126">
        <f t="shared" ref="K69:K84" si="307">STDEV(E69:I69)</f>
        <v>2.8184441517455444E-2</v>
      </c>
      <c r="L69" s="126">
        <f t="shared" ref="L69:L84" si="308">(K69/J69)*100</f>
        <v>1.4183140851772771</v>
      </c>
      <c r="N69" s="138">
        <f t="shared" ref="N69:N84" si="309">((3.5*E69*60)+(3.5*F69*60)+(3.5*G69*60)+(3.5*H69*60)+(3.5*I69*60))/5</f>
        <v>417.30761758075977</v>
      </c>
      <c r="O69" s="138">
        <f t="shared" ref="O69:O84" si="310">IF(B69&lt; 18, 0.012 * B69^3 - 1.2144 * B69^2 + 40.324 * B69 + 44.414, 325.7924)</f>
        <v>325.79239999999999</v>
      </c>
      <c r="P69" s="138">
        <f t="shared" ref="P69:P84" si="311">((6.4837 - 1.59948 *B69 + 214.68572 *E69)+(6.4837 - 1.59948 *B69 + 214.68572 *F69)+(6.4837 - 1.59948 *B69 + 214.68572 *G69)+(6.4837 - 1.59948 *B69 + 214.68572 *H69)+(6.4837 - 1.59948 *B69 + 214.68572 *I69))/5</f>
        <v>329.13648258004798</v>
      </c>
      <c r="Q69" s="138">
        <f t="shared" ref="Q69:Q84" si="312">(0.2519 * C69^0.7609) * 60</f>
        <v>429.56615764975066</v>
      </c>
      <c r="R69" s="138">
        <f t="shared" ref="R69:R84" si="313">(3.5 *E69* 60+3.5 *F69* 60+3.5 *G69* 60+3.5 *H69* 60+3.5 *I69* 60)/5</f>
        <v>417.30761758075977</v>
      </c>
      <c r="S69" s="138">
        <f t="shared" ref="S69:S84" si="314">IF(B69&lt;=33.37, (6.642+(0.6-6.642)*EXP(-0.1323*B69))*60, (-0.000895*B69^2+0.0607*B69+5.54)*60)</f>
        <v>342.2475</v>
      </c>
      <c r="T69" s="138">
        <f t="shared" ref="T69:T84" si="315">AVERAGE(N69:S69)</f>
        <v>376.8929625652197</v>
      </c>
      <c r="U69" s="138">
        <f t="shared" ref="U69:U84" si="316">STDEV(N69:S69)</f>
        <v>49.26136642822101</v>
      </c>
      <c r="V69" s="138">
        <f t="shared" ref="V69:V84" si="317">(U69/T69)*100</f>
        <v>13.070386375202361</v>
      </c>
      <c r="X69" s="227">
        <f t="shared" ref="X69:X84" si="318">IF(B69 &lt; 2, 0.359, (0.00000112815 * B69^3) - (0.000172362 * B69^2) + (0.00815264 * B69) + 0.327363 )</f>
        <v>0.43887334375000003</v>
      </c>
      <c r="Y69" s="227">
        <f t="shared" ref="Y69:Y84" si="319">IF(B69&lt;18,(-0.1*(B69*365.25*24)^(0.00000000000966))-0.1*(B69*365.25*24)^0.00000155+0.00000055*B69*365.25*24+0.58,0.47)</f>
        <v>0.47</v>
      </c>
      <c r="Z69" s="227">
        <f t="shared" ref="Z69:Z84" si="320">IF(B69 &lt; 2, 0.359, (0.00000112815 * B69^3) - (0.000172362 * B69^2) + (0.00815264 * B69) + 0.327363)</f>
        <v>0.43887334375000003</v>
      </c>
      <c r="AA69" s="227">
        <f t="shared" ref="AA69:AA84" si="321">AVERAGE(X69:Z69)</f>
        <v>0.44924889583333338</v>
      </c>
      <c r="AB69" s="227">
        <f t="shared" ref="AB69:AB84" si="322">STDEV(X69:Z69)</f>
        <v>1.7970983364910414E-2</v>
      </c>
      <c r="AC69" s="227">
        <f t="shared" ref="AC69:AC84" si="323">(AB69/AA69)*100</f>
        <v>4.000228722115204</v>
      </c>
      <c r="AE69" s="228">
        <f t="shared" ref="AE69:AE84" si="324">(10^(1.2082*LOG10(AVERAGE(E69:I69))+3.2869)/1000)</f>
        <v>4.4384360290611768</v>
      </c>
      <c r="AF69" s="228">
        <f t="shared" ref="AF69:AF84" si="325">IF(B69 &lt; 18, (-0.0623 * B69^5 + 2.4425 * B69^4 - 31.37 * B69^3 + 149.98 * B69^2 + 31.305 * B69 + 393.7) / 1000, 5.285)</f>
        <v>5.2850000000000001</v>
      </c>
      <c r="AG69" s="228">
        <f t="shared" ref="AG69:AG84" si="326">(10^(1.2082*LOG10(AVERAGE(E69:I69))+3.2869)/1000)</f>
        <v>4.4384360290611768</v>
      </c>
      <c r="AH69" s="228">
        <f t="shared" ref="AH69:AH84" si="327">(0.0897 - 0.00000035 *C69 + 0.000000000000654 * C69^2) * C69</f>
        <v>7.2960939533063094</v>
      </c>
      <c r="AI69" s="228">
        <f t="shared" ref="AI69:AI84" si="328">IF(B69 &lt; 18, (-0.0623 * B69^5 + 2.4425 * B69^4 - 31.37 * B69^3 + 149.98 * B69^2 + 31.305 * B69 + 393.7) / 1000, 5.285)</f>
        <v>5.2850000000000001</v>
      </c>
      <c r="AJ69" s="228">
        <f t="shared" ref="AJ69:AJ84" si="329">IF(B69&lt;=1,(-0.0273*B69+0.0771)*C69,(0.0761+(0.0289-0.0761)*EXP(-0.592*B69))*C69)</f>
        <v>6.1918511962997034</v>
      </c>
      <c r="AK69" s="228">
        <f t="shared" ref="AK69:AK84" si="330">(3.33 * AVERAGE(E69:I69) - 0.81) / 1.06</f>
        <v>5.4785910446717443</v>
      </c>
      <c r="AL69" s="228">
        <f t="shared" ref="AL69:AL84" si="331">AVERAGE(AE69:AK69)</f>
        <v>5.4876297503428733</v>
      </c>
      <c r="AM69" s="228">
        <f t="shared" ref="AM69:AM84" si="332">STDEV(AE69:AK69)</f>
        <v>1.0041816633083089</v>
      </c>
      <c r="AN69" s="228">
        <f t="shared" ref="AN69:AN84" si="333">(AM69/AL69)*100</f>
        <v>18.299005381067602</v>
      </c>
      <c r="AP69" s="229">
        <f t="shared" si="192"/>
        <v>1.4236050566695728</v>
      </c>
      <c r="AQ69" s="229">
        <f t="shared" si="193"/>
        <v>1.4</v>
      </c>
      <c r="AR69" s="229">
        <f t="shared" si="194"/>
        <v>1.47</v>
      </c>
      <c r="AS69" s="229">
        <f t="shared" si="195"/>
        <v>1.3340647361767388</v>
      </c>
      <c r="AT69" s="229">
        <f t="shared" si="196"/>
        <v>1.4236050566695728</v>
      </c>
      <c r="AU69" s="229">
        <f t="shared" si="197"/>
        <v>1.2005466079555838</v>
      </c>
      <c r="AV69" s="229">
        <f t="shared" si="198"/>
        <v>1.4</v>
      </c>
      <c r="AW69" s="229">
        <f t="shared" si="199"/>
        <v>1.4499999999995825</v>
      </c>
      <c r="AX69" s="229">
        <f t="shared" si="200"/>
        <v>1.3693678460799443</v>
      </c>
      <c r="AY69" s="229">
        <f t="shared" ref="AY69:AY84" si="334">AVERAGE(AP69:AX69)</f>
        <v>1.3856877003945549</v>
      </c>
      <c r="AZ69" s="229">
        <f t="shared" ref="AZ69:AZ84" si="335">STDEV(AP69:AX69)</f>
        <v>8.0419418976381399E-2</v>
      </c>
      <c r="BA69" s="229">
        <f t="shared" ref="BA69:BA84" si="336">(AZ69/AY69)*100</f>
        <v>5.8035745683160149</v>
      </c>
      <c r="BC69" s="230">
        <f t="shared" ref="BC69:BC84" si="337">IF(B69 &lt; 18,  (-0.0306 * B69^5 + 0.5222 * B69^4 + 9.7109 * B69^3 - 197.97 * B69^2 + 1089.7 * B69 + 546.6) / 1000, 9.65)</f>
        <v>9.65</v>
      </c>
      <c r="BD69" s="230">
        <f t="shared" ref="BD69:BD84" si="338">IF(B69 &lt; 18, (0.0597 * B69*365.25*24 + 0.907 * (B69*365.25*24)^(0.769) + 395) / 1000, 11.73)</f>
        <v>11.73</v>
      </c>
      <c r="BE69" s="230">
        <f t="shared" ref="BE69:BE84" si="339">IF(B69 &lt; 18, (-0.0306 * B69^5 + 0.5222 * B69^4 + 9.7109 * B69^3 - 197.97 * B69^2 + 1089.7 *B69+ 546.6) / 1000, 9.65)</f>
        <v>9.65</v>
      </c>
      <c r="BF69" s="230">
        <f t="shared" ref="BF69:BF84" si="340">IF(B69 &lt; 50, (0.89983 + (2.9901 - 0.89989) / (1 + EXP(14.17081 - B69) / 1.58179)) / 0.65 / 0.5, (0.89983 + (2.9901 - 0.89989) / (1 + EXP(14.17081 - B69) / 1.58179) - (0.0019 * B69)) / 0.65 / 0.5)</f>
        <v>8.8201230769230765</v>
      </c>
      <c r="BG69" s="230">
        <f t="shared" ref="BG69:BG76" si="341">AVERAGE(BC69:BF69)</f>
        <v>9.962530769230769</v>
      </c>
      <c r="BH69" s="230">
        <f t="shared" ref="BH69:BH76" si="342">STDEV(BC69:BF69)</f>
        <v>1.2415573259139414</v>
      </c>
      <c r="BI69" s="230">
        <f t="shared" ref="BI69:BI84" si="343">(BH69/BG69)*100</f>
        <v>12.46226842027415</v>
      </c>
      <c r="BK69" s="227">
        <f t="shared" si="260"/>
        <v>19.600000000000001</v>
      </c>
      <c r="BL69" s="227">
        <f t="shared" si="261"/>
        <v>31.73</v>
      </c>
      <c r="BM69" s="227">
        <f t="shared" si="262"/>
        <v>40.520687137199594</v>
      </c>
      <c r="BN69" s="227">
        <f t="shared" si="263"/>
        <v>22.96741181324094</v>
      </c>
      <c r="BO69" s="227">
        <f t="shared" si="264"/>
        <v>19.600000000000001</v>
      </c>
      <c r="BP69" s="227">
        <f t="shared" si="265"/>
        <v>25.55171792999591</v>
      </c>
      <c r="BQ69" s="227">
        <f t="shared" si="266"/>
        <v>31.86</v>
      </c>
      <c r="BR69" s="227">
        <f t="shared" ref="BR69:BR84" si="344">AVERAGE(BK69:BQ69)</f>
        <v>27.404259554348066</v>
      </c>
      <c r="BS69" s="227">
        <f t="shared" ref="BS69:BS84" si="345">STDEV(BK69:BQ69)</f>
        <v>7.6978004281455368</v>
      </c>
      <c r="BT69" s="227">
        <f t="shared" si="267"/>
        <v>28.089795357832152</v>
      </c>
      <c r="BV69" s="231">
        <f t="shared" ref="BV69:BV84" si="346">IF(B69 &lt; 18, (0.0009737*(B69^5)-0.0561*(B69^4)+1.1729*(B69^3)-10.34*(B69^2)+44.604 *B69+28.291)/1050, 0.26)</f>
        <v>0.26</v>
      </c>
      <c r="BW69" s="231">
        <f t="shared" ref="BW69:BW84" si="347">0.05668 - 0.0004962 * B69 + 0.003501 * C69</f>
        <v>0.30928470089678395</v>
      </c>
      <c r="BX69" s="231">
        <f t="shared" ref="BX69:BX84" si="348">(0.00726 - 0.0000000669 * (C69*1000) + 0.000000000000333 * (C69*1000)^2) * C69</f>
        <v>0.32718631691354094</v>
      </c>
      <c r="BY69" s="231">
        <f t="shared" ref="BY69:BY84" si="349">IF(B69 &lt; 18, (0.0009737 * B69^5 - 0.0561*B69^4 + 1.1729*B69^3 - 10.34 *B69^2 + 44.604*B69 + 28.291)/1050, 0.26)</f>
        <v>0.26</v>
      </c>
      <c r="BZ69" s="231">
        <f t="shared" ref="BZ69:BZ84" si="350">(0.0042 + (0.00767 - 0.0042) * EXP(-0.218 *B69)) * C69</f>
        <v>0.34173180154232868</v>
      </c>
      <c r="CA69" s="231">
        <f t="shared" ref="CA69:CA84" si="351">((10.24 *(D69/100) * SQRT(C69 + 7.85) + (9.88 *(D69/100) * SQRT(C69) + 7.2)) / 1050)</f>
        <v>0.31169879240515996</v>
      </c>
      <c r="CB69" s="231">
        <f t="shared" ref="CB69:CB84" si="352">IF(B69 &lt; 18, (3.17*10^(-2) * (B69*365.25*24) + 1.44*10^(-2) * (B69*365.25*24)^(1.06) + 38) / 20000, 0.48)</f>
        <v>0.48</v>
      </c>
      <c r="CC69" s="231">
        <f t="shared" ref="CC69:CC84" si="353">EXP(-2.306 * ((D69/100)^(-1.93)))</f>
        <v>0.44597310049686079</v>
      </c>
      <c r="CD69" s="231">
        <f t="shared" ref="CD69:CD84" si="354">AVERAGE(BV69:CC69)</f>
        <v>0.34198433903183434</v>
      </c>
      <c r="CE69" s="231">
        <f t="shared" ref="CE69:CE84" si="355">STDEV(BV69:CC69)</f>
        <v>8.0631768623007791E-2</v>
      </c>
      <c r="CF69" s="231">
        <f t="shared" si="268"/>
        <v>23.577620206608938</v>
      </c>
      <c r="CH69" s="232">
        <f t="shared" ref="CH69:CH84" si="356">IF(B69 &lt;= 22, 0.05012*C69^0.78, (1.07828 * AVERAGE(E69:I69) - 0.3457) * (0.05012*76.28^0.78 / (1.0728 * 1.99 - 0.3457)))</f>
        <v>1.4797759444250955</v>
      </c>
      <c r="CI69" s="232">
        <f t="shared" ref="CI69:CI84" si="357">IF(B69 &lt; 18, (0.0072 * B69^5 - 0.3975 * B69^4 + 7.9052 * B69^3 - 65.624 * B69^2 + 262.02 * B69 + 157.52) / 1050, 1.52)</f>
        <v>1.52</v>
      </c>
      <c r="CJ69" s="232">
        <f t="shared" ref="CJ69:CJ84" si="358">IF(B69 &lt; 18, (2.79*10^-3 * (B69*365.25*24) + 1.1 * (B69*365.25*24)^(6.03*10^-1) + 1.6*10^2) / 1000, 2.1)</f>
        <v>2.1</v>
      </c>
      <c r="CK69" s="232">
        <f t="shared" ref="CK69:CK84" si="359">(0.0247 + (0.0409 - 0.0247) * EXP(-0.218 * B69)) * C69</f>
        <v>2.0097082117978888</v>
      </c>
      <c r="CL69" s="232">
        <f t="shared" ref="CL69:CL84" si="360">-0.0143744 - 0.0044728 * B69 + 0.0264591 *C69</f>
        <v>1.8477294736926866</v>
      </c>
      <c r="CM69" s="232">
        <f t="shared" ref="CM69:CM84" si="361">0.05012 * C69^0.78</f>
        <v>1.5493553225581451</v>
      </c>
      <c r="CN69" s="232">
        <f t="shared" ref="CN69:CN84" si="362">IF(B69 &lt;= 22, 0.05012*C69^0.78, (1.07828 * AVERAGE(E69:I69) - 0.3457) * (0.05012*77.06^0.78 / (1.0728 * 2 - 0.3457)))</f>
        <v>1.4826750140075513</v>
      </c>
      <c r="CO69" s="232">
        <f t="shared" ref="CO69:CO84" si="363">(3.939*10^(-2) - 7.058*10^(-7) * C69*1000 + 1.155*10^(-11) * (C69 * 1000)^2 - 8.016*10^(-17) * (C69 * 1000)^3 + 1.869*10^(-22) * (C69 * 1000)^4) * C69</f>
        <v>1.9071273974943044</v>
      </c>
      <c r="CP69" s="232">
        <f t="shared" ref="CP69:CP84" si="364">IF(B69 &lt; 18, (0.0072 * B69^5 - 0.3975 * B69^4 + 7.9052 *B69^3 - 65.624 * B69^2 + 262.02 *B69 + 157.52) / 1050, 1.52)</f>
        <v>1.52</v>
      </c>
      <c r="CQ69" s="232">
        <f t="shared" ref="CQ69:CQ84" si="365">(576.9 * D69/100 + 8.9 * C69 - 159.7) / 1050</f>
        <v>1.4838802889906295</v>
      </c>
      <c r="CR69" s="232">
        <f t="shared" ref="CR69:CR84" si="366">AVERAGE(CH69:CQ69)</f>
        <v>1.69002516529663</v>
      </c>
      <c r="CS69" s="232">
        <f t="shared" ref="CS69:CS84" si="367">STDEV(CH69:CQ69)</f>
        <v>0.24711227585194417</v>
      </c>
      <c r="CT69" s="232">
        <f t="shared" si="269"/>
        <v>14.62181042780931</v>
      </c>
      <c r="CV69" s="229">
        <f t="shared" si="270"/>
        <v>0.83</v>
      </c>
      <c r="CW69" s="229">
        <f t="shared" si="271"/>
        <v>1.19</v>
      </c>
      <c r="CX69" s="229">
        <f t="shared" si="272"/>
        <v>0.7993993840462631</v>
      </c>
      <c r="CY69" s="229">
        <f t="shared" si="273"/>
        <v>0.51279167322073682</v>
      </c>
      <c r="CZ69" s="229">
        <f t="shared" si="274"/>
        <v>1.2121633005927097</v>
      </c>
      <c r="DA69" s="229">
        <f t="shared" si="275"/>
        <v>0.83</v>
      </c>
      <c r="DB69" s="229">
        <f t="shared" si="276"/>
        <v>0.55327973895976312</v>
      </c>
      <c r="DC69" s="229">
        <f t="shared" si="277"/>
        <v>0.89</v>
      </c>
      <c r="DD69" s="229">
        <f t="shared" si="278"/>
        <v>0.85220426210243416</v>
      </c>
      <c r="DE69" s="229">
        <f t="shared" si="279"/>
        <v>0.25451246879947559</v>
      </c>
      <c r="DF69" s="229">
        <f t="shared" si="280"/>
        <v>29.865195483953521</v>
      </c>
      <c r="DH69" s="234">
        <f t="shared" ref="DH69:DH84" si="368">1.48*10^(-3) * B69</f>
        <v>9.6199999999999994E-2</v>
      </c>
      <c r="DI69" s="234">
        <f t="shared" ref="DI69:DI84" si="369">0.002 * B69</f>
        <v>0.13</v>
      </c>
      <c r="DJ69" s="234">
        <f t="shared" ref="DJ69:DJ84" si="370">(7.6*(D69/100)*SQRT(C69)-0.79)/1045</f>
        <v>0.11223371625994601</v>
      </c>
      <c r="DK69" s="234">
        <f t="shared" si="281"/>
        <v>0.11281123875331533</v>
      </c>
      <c r="DL69" s="234">
        <f t="shared" si="282"/>
        <v>1.6907399243312374E-2</v>
      </c>
      <c r="DM69" s="234">
        <f t="shared" si="283"/>
        <v>14.987335863126042</v>
      </c>
      <c r="DO69" s="229">
        <f t="shared" ref="DO69:DO84" si="371">IF(B69 &lt; 18, (-0.0992 * B69^4 + 4.2762 * B69^3 - 62.165 * B69^2 + 432.78 * B69 + 203.2) / 1000, 2.38)</f>
        <v>2.38</v>
      </c>
      <c r="DP69" s="229">
        <f t="shared" ref="DP69:DP84" si="372">IF(B69 &lt;= 18,  (2.88*10^(-1) * (B69*365.25*24) + 2.71*10^(-1) * (B69 * 365.25 * 24)^0.998 + 200) / 25000, 3.49)</f>
        <v>3.49</v>
      </c>
      <c r="DQ69" s="229">
        <f t="shared" ref="DQ69:DQ84" si="373">IF(B69 &lt; 10, 0.664 * AVERAGE(E69:I69) + 7.85*10^(-2)*AVERAGE(E69:I69)^1.049, IF(B69 &lt; 20, (-9.356*10^(-5) - 2.151*10^(-5) * B69 - 5.058*10^(-1) * AVERAGE(E69:I69) + 1.134*10^(-6) * B69^2 + 0.117 * B69 * AVERAGE(E69:I69)- 1.673*10^(-5) * AVERAGE(E69:I69)^2) +  (7.85*10^(-2)*AVERAGE(E69:I69)^1.049), 1.834 * AVERAGE(E69:I69) + (7.85*10^(-2) * AVERAGE(E69:I69)^1.049)))</f>
        <v>3.8058184416635528</v>
      </c>
      <c r="DR69" s="229">
        <f t="shared" ref="DR69:DR84" si="374">AVERAGE(E69:I69)*10000 * 0.15 / 1000</f>
        <v>2.980768697005427</v>
      </c>
      <c r="DS69" s="229">
        <f t="shared" ref="DS69:DS84" si="375">(1.03 * 10^(-1) - 2.56 * 10^(-6) * C69*1000 + 3.68 * 10^(-11) * (C69*1000)^2 - 2.58 * 10^(-16) * (C69 * 1000)^3 + 8.62 * 10^(-22) * (C69 * 1000)^4 - 1.1 * 10^(-27) * (C69*1000)^5)  * C69</f>
        <v>2.7024946865585364</v>
      </c>
      <c r="DT69" s="229">
        <f t="shared" ref="DT69:DT84" si="376">IF(B69 &lt; 18, (-0.0992 * B69^4 + 4.2762 * B69^3 - 62.165 * B69^2 + 432.78 * B69 + 203.2) / 1000, 2.38)</f>
        <v>2.38</v>
      </c>
      <c r="DU69" s="229">
        <f t="shared" ref="DU69:DU84" si="377">IF(B69 &lt; 20, (-1.171 * 10^(-5) * B69^3 + 5.413*10^(-4) * B69^2 - 6.1966*10^(-3) * B69 + 4.623*10^(-3)) *B69, 0.0452 * B69)</f>
        <v>2.9379999999999997</v>
      </c>
      <c r="DV69" s="229">
        <f t="shared" ref="DV69:DV84" si="378">EXP(1.64 * AVERAGE(E69:I69) - 1.93) / 1.116</f>
        <v>3.3845566112008623</v>
      </c>
      <c r="DW69" s="229">
        <f t="shared" si="284"/>
        <v>3.0077048045535468</v>
      </c>
      <c r="DX69" s="229">
        <f t="shared" si="285"/>
        <v>0.52076530093130402</v>
      </c>
      <c r="DY69" s="229">
        <f t="shared" si="286"/>
        <v>17.314375404889663</v>
      </c>
      <c r="EA69" s="235">
        <f t="shared" ref="EA69:EA84" si="379">IF(B69 &lt; 18, (-0.0091 * B69^4 + 0.3457 * B69^3 - 4.0754 * B69^2 + 22.269 * B69 + 11.05) / 1054, 0.14)</f>
        <v>0.14000000000000001</v>
      </c>
      <c r="EB69" s="235">
        <f t="shared" ref="EB69:EB84" si="380">(3.12 * 10^(-3) - 5.57 * 10^(-9) * C69*1000) * C69</f>
        <v>0.21698319780306422</v>
      </c>
      <c r="EC69" s="235">
        <f t="shared" ref="EC69:EC84" si="381">IF(B69 &lt; 18, (-0.0091 * B69^4 + 0.3457 * B69^3 - 4.0754 * B69^2 + 22.269 * B69 + 11.05) / 1054, 0.14)</f>
        <v>0.14000000000000001</v>
      </c>
      <c r="ED69" s="235">
        <f t="shared" ref="ED69:ED84" si="382">0.0021 * C69</f>
        <v>0.17086580173757393</v>
      </c>
      <c r="EE69" s="235">
        <f t="shared" ref="EE69:EE84" si="383">(8.74 * D69/100 * SQRT(C69) + 11.06) / 1054</f>
        <v>0.13932198151365288</v>
      </c>
      <c r="EF69" s="235">
        <f t="shared" ref="EF69:EF84" si="384">AVERAGE(EA69:EE69)</f>
        <v>0.16143419621085822</v>
      </c>
      <c r="EG69" s="235">
        <f t="shared" ref="EG69:EG84" si="385">STDEV(EA69:EE69)</f>
        <v>3.3846884398452771E-2</v>
      </c>
      <c r="EH69" s="235">
        <f t="shared" si="287"/>
        <v>20.966365982485808</v>
      </c>
      <c r="EJ69" s="229">
        <f t="shared" ref="EJ69:EJ84" si="386">IF(B69&lt;=18,(0.0165*B69^5 - 1.9784*B69^4 + 51.963*B69^3 - 459.38*B69^2 + 1566.8*B69 + 1004.2)/916, (0.0165*18^5 - 1.9784*18^4 + 51.963*18^3 - 459.38*18^2 + 1566.8*18 + 1004.2)/916)</f>
        <v>7.5426305676856105</v>
      </c>
      <c r="EK69" s="229">
        <f t="shared" ref="EK69:EK84" si="387">IF(B69&lt;=25,((1.4471*EXP(-0.0761*B69)+0.52)*(C69/(D69/100)^2) - 0.10124*B69+5.0465)*C69/100, (-6.0487*(C69/(D69/100)^2) + 0.1177*(C69/(D69/100)^2)^2 + 0.03155*B69 + 97.2025) * 0.979 *C69/100)</f>
        <v>17.440290918558336</v>
      </c>
      <c r="EL69" s="229">
        <f t="shared" ref="EL69:EL84" si="388">IF(B69 &lt; 18, (0.0165 * B69^5 - 1.9784 * B69^4 + 51.963 * B69^3 - 459.39 * B69^2 + 1566.8 * B69 + 1004.2) / 1000, 6.91)</f>
        <v>6.91</v>
      </c>
      <c r="EM69" s="229">
        <f t="shared" ref="EM69:EM84" si="389">IF(B69 &lt;= 18, (2.54*10^(-2) * (B69 * 365.25 * 24) + 1.88 * 10^1 *(B69 * 365.25 * 24)^(5.2*10^(-1)) + 9.06 * 10^(-2)) / 1000, 14.4)</f>
        <v>14.4</v>
      </c>
      <c r="EN69" s="229">
        <f t="shared" ref="EN69:EN84" si="390">1.3054356 + 0.3622685 * B69 - 0.0025165 * B69^2 + 0.0906119 * C69 + 0.0001731 * C69^2</f>
        <v>22.739240912559843</v>
      </c>
      <c r="EO69" s="229">
        <f t="shared" ref="EO69:EO84" si="391">IF(B69 &lt; 20, ((2.8975 * EXP(-0.129 * B69) + 0.67) * (C69/(D69/100)^2) + 0.2635 * B69 - 4.843) * C69 / 100, (-5.33798 * (C69/(D69/100)^2) + 0.11149 * (C69/(D69/100)^2)^2 + 0.09795 * B69+ 85.24521) * C69/ 100)</f>
        <v>23.656747406126154</v>
      </c>
      <c r="EP69" s="229">
        <f t="shared" ref="EP69:EP84" si="392">(3.484 * 10^(-2) + 2.803 * 10^(-5) * (C69*1000) - 1.422*10^(-9) * (C69*1000)^2 + 2.892 * 10^(-14) * (C69*1000)^3 - 2.718*10^(-19) * (C69*1000)^4 + 1.203*10^(-24) * (C69*1000)^5 - 2.036*10^(-30) * (C69*1000)^6) *(C69)</f>
        <v>21.6643437046631</v>
      </c>
      <c r="EQ69" s="229">
        <f t="shared" ref="EQ69:EQ84" si="393">AVERAGE(EJ69:EP69)</f>
        <v>16.336179072799005</v>
      </c>
      <c r="ER69" s="229">
        <f t="shared" ref="ER69:ER84" si="394">STDEV(EJ69:EP69)</f>
        <v>7.0015053093972615</v>
      </c>
      <c r="ES69" s="229">
        <f t="shared" si="288"/>
        <v>42.858891777547335</v>
      </c>
      <c r="EU69" s="238">
        <f t="shared" ref="EU69:EU84" si="395">(2 * 10^(-4) + (1.71*10^(-3) - 2 * 10^(-4)) * EXP(-2.02 * B69)) * C69</f>
        <v>1.6272933498816564E-2</v>
      </c>
      <c r="EV69" s="238">
        <f t="shared" ref="EV69:EV84" si="396">AVERAGE(EU69)</f>
        <v>1.6272933498816564E-2</v>
      </c>
      <c r="EW69" s="238" t="e">
        <f t="shared" ref="EW69:EW84" si="397">STDEV(EU69)</f>
        <v>#DIV/0!</v>
      </c>
      <c r="EX69" s="238" t="e">
        <f t="shared" si="289"/>
        <v>#DIV/0!</v>
      </c>
      <c r="EZ69" s="240">
        <f t="shared" ref="EZ69:EZ84" si="398">(3.42 * 10^(-4) * (1 / (1+EXP(-1.42 * B69 + 20.1)))) *C69</f>
        <v>2.7826716282976328E-2</v>
      </c>
      <c r="FA69" s="240">
        <f t="shared" ref="FA69:FA84" si="399">AVERAGE(EZ69)</f>
        <v>2.7826716282976328E-2</v>
      </c>
      <c r="FB69" s="240" t="e">
        <f t="shared" ref="FB69:FB84" si="400">STDEV(EZ69)</f>
        <v>#DIV/0!</v>
      </c>
      <c r="FC69" s="240" t="e">
        <f t="shared" si="290"/>
        <v>#DIV/0!</v>
      </c>
      <c r="FE69" s="236">
        <f t="shared" ref="FE69:FE84" si="401">IF(B69 &lt; 18, (-4.7817*10^(-2) * B69^4 + 1.925 * B69^3 - 22.382 * B69^2 + 107.09 * B69 + 51.125) / 1040, 0.9)</f>
        <v>0.9</v>
      </c>
      <c r="FF69" s="236">
        <f t="shared" ref="FF69:FF84" si="402">IF(B69 &lt; 18,  (8.2 * 10^(-2) * (B69 * 365.25 * 24) + 4.41*10^(-2) * (B69 * 365.25 * 24)^(1.04) + 9*10^1) / 20000, 1.2)</f>
        <v>1.2</v>
      </c>
      <c r="FG69" s="236">
        <f t="shared" ref="FG69:FG84" si="403">0.021 * (C69 - AVERAGE(EK69:EP69))</f>
        <v>1.3348208370790633</v>
      </c>
      <c r="FH69" s="236">
        <f t="shared" ref="FH69:FH84" si="404">1.65 * 10^(-2) * C69</f>
        <v>1.3425170136523668</v>
      </c>
      <c r="FI69" s="236">
        <f t="shared" ref="FI69:FI84" si="405">IF(C69 &lt; 18, (-4.7817*10^(-2) * C69^4 + 1.925 * C69^3 - 22.382 * C69^2 + 107.09 * C69 + 51.125) / 1040, 0.9)</f>
        <v>0.9</v>
      </c>
      <c r="FJ69" s="236">
        <f t="shared" ref="FJ69:FJ84" si="406">IF(B69 &lt; 16, (-8.2562 * 10^(-5) * B69^2 + 1.3523 * 10^(-3) * B69 + 1.293 * 10^(-2)) * C69,0.014 * C69)</f>
        <v>1.1391053449171595</v>
      </c>
      <c r="FK69" s="236">
        <f t="shared" si="291"/>
        <v>1.1360738659414316</v>
      </c>
      <c r="FL69" s="236">
        <f t="shared" si="292"/>
        <v>0.19883491273652243</v>
      </c>
      <c r="FM69" s="236">
        <f t="shared" si="293"/>
        <v>17.501935278808098</v>
      </c>
      <c r="FO69" s="227">
        <f t="shared" ref="FO69:FO84" si="407">IF(B69 &lt; 18,  (-0.0132 * B69^4 + 0.5051 * B69^3 - 5.7113 * B69^2 + 32.213 * B69 + 20.354) / 1030, 0.3)</f>
        <v>0.3</v>
      </c>
      <c r="FP69" s="227">
        <f t="shared" ref="FP69:FP84" si="408">IF(B69 &lt; 18,  (4.68*10^(-2)*(B69*365.25 *24)-3.81*10^(-2) *(B69*365.25*24)^(1.01)+2.8*10^1)/2000,0.32)</f>
        <v>0.32</v>
      </c>
      <c r="FQ69" s="227">
        <f t="shared" ref="FQ69:FQ84" si="409">1.017*10^(-7) * (D69^(0.664) * C69^(0.3851) * 242.7)^1.42</f>
        <v>0.35255171633757409</v>
      </c>
      <c r="FR69" s="227">
        <f t="shared" ref="FR69:FR84" si="410">IF(B69 &lt; 18,  (-0.0132 * B69^4 + 0.5051 * B69^3 - 5.7113 * B69^2 + 32.213 * B69 + 20.354) / 1030, 0.3)</f>
        <v>0.3</v>
      </c>
      <c r="FS69" s="227">
        <f t="shared" ref="FS69:FS84" si="411">0.0045 * C69</f>
        <v>0.36614100372337266</v>
      </c>
      <c r="FT69" s="227">
        <f t="shared" si="294"/>
        <v>0.32773854401218933</v>
      </c>
      <c r="FU69" s="227">
        <f t="shared" si="295"/>
        <v>3.0369314875294852E-2</v>
      </c>
      <c r="FV69" s="227">
        <f t="shared" si="296"/>
        <v>9.2663238517851436</v>
      </c>
      <c r="FX69" s="230">
        <f t="shared" ref="FX69:FX84" si="412">IF(B69 &lt; 18, (1.9956 * 10^(-3) * B69^6 - 0.11169 * B69^5 + 2.189 * B69^4 - 17.726 * B69^3 + 59.767 * B69^2 + 14.405  * B69 + 73.716) / 1000, 2.94)</f>
        <v>2.94</v>
      </c>
      <c r="FY69" s="230">
        <f t="shared" ref="FY69:FY84" si="413">2.1 * 10^(-2) * C69</f>
        <v>1.7086580173757393</v>
      </c>
      <c r="FZ69" s="230">
        <f t="shared" ref="FZ69:FZ84" si="414">IF(B69 &lt; 18, (1.9956 * 10^(-3) * B69^6 - 0.11169 * B69^5 + 2.189 * B69^4 - 17.726 * B69^3 + 59.767 * B69^2 + 14.405  * B69 + 73.716) / 1000, 2.94)</f>
        <v>2.94</v>
      </c>
      <c r="GA69" s="230">
        <f t="shared" ref="GA69:GA84" si="415">(0.05 + (0.0138 - 0.05) * EXP(-0.112 * B69)) * C69</f>
        <v>4.0662034468809578</v>
      </c>
      <c r="GB69" s="230">
        <f t="shared" si="297"/>
        <v>2.9137153660641744</v>
      </c>
      <c r="GC69" s="230">
        <f t="shared" si="298"/>
        <v>0.96294232330135388</v>
      </c>
      <c r="GD69" s="230">
        <f t="shared" si="299"/>
        <v>33.048606412166109</v>
      </c>
      <c r="GF69" s="231">
        <f t="shared" ref="GF69:GF84" si="416">IF(B69 &lt; 18,  (0.0013 * B69^4 - 0.01 * B69^3 - 0.0104 * B69^2 + 1.0584 * B69+ 1.78) / 1050, 0.06)</f>
        <v>0.06</v>
      </c>
      <c r="GG69" s="231">
        <f t="shared" ref="GG69:GG84" si="417">IF(B69 &lt; 18, (8.52*10^(-2) * (B69 * 365.25 * 24) + 8.31*10^(-2) * (B69 * 365.24 * 24)^(9.99*10^-1) + 1.1) / 500000, 0.05)</f>
        <v>0.05</v>
      </c>
      <c r="GH69" s="231">
        <f t="shared" ref="GH69:GH84" si="418">IF(C69 &lt; 18,  (0.0013 * C69^4 - 0.01 * C69^3 - 0.0104 * C69^2 + 1.0584 * C69+ 1.78) / 1050, 0.06)</f>
        <v>0.06</v>
      </c>
      <c r="GI69" s="231">
        <f t="shared" ref="GI69:GI84" si="419">IF(B69&lt; 20.1, (-1.516*10^(-7) *  B69^3 + 9.33351*10^(-6) * B69^2 - 1.1177*10^(-4) * B69 + 4.7966*10^(-4)) * C69, 0.0008 * C69)</f>
        <v>6.5091733995266257E-2</v>
      </c>
      <c r="GJ69" s="245">
        <f t="shared" si="187"/>
        <v>5.8772933498816557E-2</v>
      </c>
      <c r="GK69" s="231">
        <f t="shared" si="188"/>
        <v>6.3219982675639247E-3</v>
      </c>
      <c r="GL69" s="231">
        <f t="shared" si="300"/>
        <v>10.756649177110113</v>
      </c>
      <c r="GN69" s="246">
        <f t="shared" ref="GN69:GN84" si="420">IF(B69 &lt; 18,  (0.0008 * B69^5 - 0.0356 * B69^4 + 0.5823 * B69^3 - 4.0437 * B69^2 + 17.888 * B69 + 7.54)  / 1040, 0.18)</f>
        <v>0.18</v>
      </c>
      <c r="GO69" s="246">
        <f t="shared" ref="GO69:GO84" si="421">IF(B69 &lt; 18,  (0.0008 * B69^5 - 0.0356 * B69^4 + 0.5823 * B69^3 - 4.0437 * B69^2 + 17.888 * B69 + 7.54)  / 1040, 0.18)</f>
        <v>0.18</v>
      </c>
      <c r="GP69" s="246">
        <f t="shared" ref="GP69:GP84" si="422">0.0021 * C69</f>
        <v>0.17086580173757393</v>
      </c>
      <c r="GQ69" s="247">
        <f t="shared" si="189"/>
        <v>0.17695526724585797</v>
      </c>
      <c r="GR69" s="246">
        <f t="shared" si="190"/>
        <v>5.273631825643099E-3</v>
      </c>
      <c r="GS69" s="246">
        <f t="shared" si="301"/>
        <v>2.9802061886725446</v>
      </c>
      <c r="GU69" s="249">
        <f t="shared" ref="GU69:GU84" si="423">0.000274 * C69</f>
        <v>2.2293918893378693E-2</v>
      </c>
      <c r="GV69" s="249">
        <f t="shared" ref="GV69:GV84" si="424">AVERAGE(GU69)</f>
        <v>2.2293918893378693E-2</v>
      </c>
      <c r="GW69" s="249" t="e">
        <f t="shared" ref="GW69:GW84" si="425">STDEV(GU69)</f>
        <v>#DIV/0!</v>
      </c>
      <c r="GX69" s="249" t="e">
        <f t="shared" si="302"/>
        <v>#DIV/0!</v>
      </c>
      <c r="GZ69" s="240">
        <f t="shared" ref="GZ69:GZ84" si="426">3*10^(-4) * C69</f>
        <v>2.4409400248224848E-2</v>
      </c>
      <c r="HA69" s="240">
        <f t="shared" ref="HA69:HA84" si="427">AVERAGE(GZ69)</f>
        <v>2.4409400248224848E-2</v>
      </c>
      <c r="HB69" s="240" t="e">
        <f t="shared" ref="HB69:HB84" si="428">STDEV(GZ69)</f>
        <v>#DIV/0!</v>
      </c>
      <c r="HC69" s="240" t="e">
        <f t="shared" si="303"/>
        <v>#DIV/0!</v>
      </c>
      <c r="HE69" s="234">
        <f t="shared" ref="HE69:HE84" si="429">1.19*10^(-3) * C69- 4.302*10^(-4)</f>
        <v>9.6393754317958547E-2</v>
      </c>
      <c r="HF69" s="251">
        <f t="shared" ref="HF69:HF84" si="430">AVERAGE(HE69)</f>
        <v>9.6393754317958547E-2</v>
      </c>
      <c r="HG69" s="234" t="e">
        <f t="shared" ref="HG69:HG84" si="431">STDEV(HE69)</f>
        <v>#DIV/0!</v>
      </c>
      <c r="HH69" s="234" t="e">
        <f t="shared" si="304"/>
        <v>#DIV/0!</v>
      </c>
    </row>
    <row r="70" spans="2:216" ht="15.6" x14ac:dyDescent="0.25">
      <c r="B70">
        <v>66</v>
      </c>
      <c r="C70" s="124">
        <f t="shared" si="305"/>
        <v>81.498436539695831</v>
      </c>
      <c r="D70" s="124">
        <f t="shared" si="306"/>
        <v>171.61321357235033</v>
      </c>
      <c r="E70" s="29">
        <f t="shared" si="254"/>
        <v>2.0123551110494988</v>
      </c>
      <c r="F70" s="29">
        <f t="shared" si="255"/>
        <v>1.9438110262004269</v>
      </c>
      <c r="G70" s="29">
        <f t="shared" si="256"/>
        <v>1.9865765290335144</v>
      </c>
      <c r="H70" s="29">
        <f t="shared" si="257"/>
        <v>2.0123551110494988</v>
      </c>
      <c r="I70" s="29">
        <f t="shared" si="258"/>
        <v>1.9710550330343013</v>
      </c>
      <c r="J70" s="125">
        <f t="shared" si="259"/>
        <v>1.9852305620734481</v>
      </c>
      <c r="K70" s="126">
        <f t="shared" si="307"/>
        <v>2.9111069702271865E-2</v>
      </c>
      <c r="L70" s="126">
        <f t="shared" si="308"/>
        <v>1.4663823063386245</v>
      </c>
      <c r="N70" s="138">
        <f t="shared" si="309"/>
        <v>416.89841803542413</v>
      </c>
      <c r="O70" s="138">
        <f t="shared" si="310"/>
        <v>325.79239999999999</v>
      </c>
      <c r="P70" s="138">
        <f t="shared" si="311"/>
        <v>327.11867258474291</v>
      </c>
      <c r="Q70" s="138">
        <f t="shared" si="312"/>
        <v>430.10342705143972</v>
      </c>
      <c r="R70" s="138">
        <f t="shared" si="313"/>
        <v>416.89841803542413</v>
      </c>
      <c r="S70" s="138">
        <f t="shared" si="314"/>
        <v>338.85479999999995</v>
      </c>
      <c r="T70" s="138">
        <f t="shared" si="315"/>
        <v>375.94435595117176</v>
      </c>
      <c r="U70" s="138">
        <f t="shared" si="316"/>
        <v>50.124797430867815</v>
      </c>
      <c r="V70" s="138">
        <f t="shared" si="317"/>
        <v>13.333036295769821</v>
      </c>
      <c r="X70" s="227">
        <f t="shared" si="318"/>
        <v>0.43896698040000004</v>
      </c>
      <c r="Y70" s="227">
        <f t="shared" si="319"/>
        <v>0.47</v>
      </c>
      <c r="Z70" s="227">
        <f t="shared" si="320"/>
        <v>0.43896698040000004</v>
      </c>
      <c r="AA70" s="227">
        <f t="shared" si="321"/>
        <v>0.4493113202666667</v>
      </c>
      <c r="AB70" s="227">
        <f t="shared" si="322"/>
        <v>1.7916922219826895E-2</v>
      </c>
      <c r="AC70" s="227">
        <f t="shared" si="323"/>
        <v>3.9876409544262503</v>
      </c>
      <c r="AE70" s="228">
        <f t="shared" si="324"/>
        <v>4.4331782385191101</v>
      </c>
      <c r="AF70" s="228">
        <f t="shared" si="325"/>
        <v>5.2850000000000001</v>
      </c>
      <c r="AG70" s="228">
        <f t="shared" si="326"/>
        <v>4.4331782385191101</v>
      </c>
      <c r="AH70" s="228">
        <f t="shared" si="327"/>
        <v>7.3080854133234636</v>
      </c>
      <c r="AI70" s="228">
        <f t="shared" si="328"/>
        <v>5.2850000000000001</v>
      </c>
      <c r="AJ70" s="228">
        <f t="shared" si="329"/>
        <v>6.2020310206708524</v>
      </c>
      <c r="AK70" s="228">
        <f t="shared" si="330"/>
        <v>5.4724695959477181</v>
      </c>
      <c r="AL70" s="228">
        <f t="shared" si="331"/>
        <v>5.4884203581400373</v>
      </c>
      <c r="AM70" s="228">
        <f t="shared" si="332"/>
        <v>1.0108170839972015</v>
      </c>
      <c r="AN70" s="228">
        <f t="shared" si="333"/>
        <v>18.41726795758326</v>
      </c>
      <c r="AP70" s="229">
        <f t="shared" si="192"/>
        <v>1.423924246328266</v>
      </c>
      <c r="AQ70" s="229">
        <f t="shared" si="193"/>
        <v>1.4</v>
      </c>
      <c r="AR70" s="229">
        <f t="shared" si="194"/>
        <v>1.47</v>
      </c>
      <c r="AS70" s="229">
        <f t="shared" si="195"/>
        <v>1.3266656990441299</v>
      </c>
      <c r="AT70" s="229">
        <f t="shared" si="196"/>
        <v>1.423924246328266</v>
      </c>
      <c r="AU70" s="229">
        <f t="shared" si="197"/>
        <v>1.2176376209485071</v>
      </c>
      <c r="AV70" s="229">
        <f t="shared" si="198"/>
        <v>1.4</v>
      </c>
      <c r="AW70" s="229">
        <f t="shared" si="199"/>
        <v>1.4499999999997311</v>
      </c>
      <c r="AX70" s="229">
        <f t="shared" si="200"/>
        <v>1.3671925203327147</v>
      </c>
      <c r="AY70" s="229">
        <f t="shared" si="334"/>
        <v>1.3865938147757351</v>
      </c>
      <c r="AZ70" s="229">
        <f t="shared" si="335"/>
        <v>7.6352385863544162E-2</v>
      </c>
      <c r="BA70" s="229">
        <f t="shared" si="336"/>
        <v>5.5064709686371449</v>
      </c>
      <c r="BC70" s="230">
        <f t="shared" si="337"/>
        <v>9.65</v>
      </c>
      <c r="BD70" s="230">
        <f t="shared" si="338"/>
        <v>11.73</v>
      </c>
      <c r="BE70" s="230">
        <f t="shared" si="339"/>
        <v>9.65</v>
      </c>
      <c r="BF70" s="230">
        <f t="shared" si="340"/>
        <v>8.8142769230769229</v>
      </c>
      <c r="BG70" s="230">
        <f t="shared" si="341"/>
        <v>9.9610692307692315</v>
      </c>
      <c r="BH70" s="230">
        <f t="shared" si="342"/>
        <v>1.2433525641019019</v>
      </c>
      <c r="BI70" s="230">
        <f t="shared" si="343"/>
        <v>12.482119492365836</v>
      </c>
      <c r="BK70" s="227">
        <f t="shared" si="260"/>
        <v>19.600000000000001</v>
      </c>
      <c r="BL70" s="227">
        <f t="shared" si="261"/>
        <v>31.73</v>
      </c>
      <c r="BM70" s="227">
        <f t="shared" si="262"/>
        <v>40.476047369838426</v>
      </c>
      <c r="BN70" s="227">
        <f t="shared" si="263"/>
        <v>22.97927745163749</v>
      </c>
      <c r="BO70" s="227">
        <f t="shared" si="264"/>
        <v>19.600000000000001</v>
      </c>
      <c r="BP70" s="227">
        <f t="shared" si="265"/>
        <v>25.256283662447693</v>
      </c>
      <c r="BQ70" s="227">
        <f t="shared" si="266"/>
        <v>31.86</v>
      </c>
      <c r="BR70" s="227">
        <f t="shared" si="344"/>
        <v>27.357372640560509</v>
      </c>
      <c r="BS70" s="227">
        <f t="shared" si="345"/>
        <v>7.6966345758101733</v>
      </c>
      <c r="BT70" s="227">
        <f t="shared" si="267"/>
        <v>28.13367598173156</v>
      </c>
      <c r="BV70" s="231">
        <f t="shared" si="346"/>
        <v>0.26</v>
      </c>
      <c r="BW70" s="231">
        <f t="shared" si="347"/>
        <v>0.30925682632547513</v>
      </c>
      <c r="BX70" s="231">
        <f t="shared" si="348"/>
        <v>0.32758614274494735</v>
      </c>
      <c r="BY70" s="231">
        <f t="shared" si="349"/>
        <v>0.26</v>
      </c>
      <c r="BZ70" s="231">
        <f t="shared" si="350"/>
        <v>0.3422935929994339</v>
      </c>
      <c r="CA70" s="231">
        <f t="shared" si="351"/>
        <v>0.31083489560679012</v>
      </c>
      <c r="CB70" s="231">
        <f t="shared" si="352"/>
        <v>0.48</v>
      </c>
      <c r="CC70" s="231">
        <f t="shared" si="353"/>
        <v>0.44345420239785088</v>
      </c>
      <c r="CD70" s="231">
        <f t="shared" si="354"/>
        <v>0.34167820750931216</v>
      </c>
      <c r="CE70" s="231">
        <f t="shared" si="355"/>
        <v>8.0209859932613065E-2</v>
      </c>
      <c r="CF70" s="231">
        <f t="shared" si="268"/>
        <v>23.475263616403456</v>
      </c>
      <c r="CH70" s="232">
        <f t="shared" si="356"/>
        <v>1.4780457826975182</v>
      </c>
      <c r="CI70" s="232">
        <f t="shared" si="357"/>
        <v>1.52</v>
      </c>
      <c r="CJ70" s="232">
        <f t="shared" si="358"/>
        <v>2.1</v>
      </c>
      <c r="CK70" s="232">
        <f t="shared" si="359"/>
        <v>2.0130121273229724</v>
      </c>
      <c r="CL70" s="232">
        <f t="shared" si="360"/>
        <v>1.8467960822474661</v>
      </c>
      <c r="CM70" s="232">
        <f t="shared" si="361"/>
        <v>1.551341814968018</v>
      </c>
      <c r="CN70" s="232">
        <f t="shared" si="362"/>
        <v>1.480941462672746</v>
      </c>
      <c r="CO70" s="232">
        <f t="shared" si="363"/>
        <v>1.9100918131861644</v>
      </c>
      <c r="CP70" s="232">
        <f t="shared" si="364"/>
        <v>1.52</v>
      </c>
      <c r="CQ70" s="232">
        <f t="shared" si="365"/>
        <v>1.4815930612401733</v>
      </c>
      <c r="CR70" s="232">
        <f t="shared" si="366"/>
        <v>1.6901822144335057</v>
      </c>
      <c r="CS70" s="232">
        <f t="shared" si="367"/>
        <v>0.24822738829051555</v>
      </c>
      <c r="CT70" s="232">
        <f t="shared" si="269"/>
        <v>14.686427662695134</v>
      </c>
      <c r="CV70" s="229">
        <f t="shared" si="270"/>
        <v>0.83</v>
      </c>
      <c r="CW70" s="229">
        <f t="shared" si="271"/>
        <v>1.19</v>
      </c>
      <c r="CX70" s="229">
        <f t="shared" si="272"/>
        <v>0.8028801816841733</v>
      </c>
      <c r="CY70" s="229">
        <f t="shared" si="273"/>
        <v>0.51018358247923701</v>
      </c>
      <c r="CZ70" s="229">
        <f t="shared" si="274"/>
        <v>1.2136601399304681</v>
      </c>
      <c r="DA70" s="229">
        <f t="shared" si="275"/>
        <v>0.83</v>
      </c>
      <c r="DB70" s="229">
        <f t="shared" si="276"/>
        <v>0.55418936846993161</v>
      </c>
      <c r="DC70" s="229">
        <f t="shared" si="277"/>
        <v>0.89</v>
      </c>
      <c r="DD70" s="229">
        <f t="shared" si="278"/>
        <v>0.85261415907047622</v>
      </c>
      <c r="DE70" s="229">
        <f t="shared" si="279"/>
        <v>0.25506117792013927</v>
      </c>
      <c r="DF70" s="229">
        <f t="shared" si="280"/>
        <v>29.915193784514216</v>
      </c>
      <c r="DH70" s="234">
        <f t="shared" si="368"/>
        <v>9.7680000000000003E-2</v>
      </c>
      <c r="DI70" s="234">
        <f t="shared" si="369"/>
        <v>0.13200000000000001</v>
      </c>
      <c r="DJ70" s="234">
        <f t="shared" si="370"/>
        <v>0.11191774725028993</v>
      </c>
      <c r="DK70" s="234">
        <f t="shared" si="281"/>
        <v>0.11386591575009664</v>
      </c>
      <c r="DL70" s="234">
        <f t="shared" si="282"/>
        <v>1.7242741092347615E-2</v>
      </c>
      <c r="DM70" s="234">
        <f t="shared" si="283"/>
        <v>15.143022368687165</v>
      </c>
      <c r="DO70" s="229">
        <f t="shared" si="371"/>
        <v>2.38</v>
      </c>
      <c r="DP70" s="229">
        <f t="shared" si="372"/>
        <v>3.49</v>
      </c>
      <c r="DQ70" s="229">
        <f t="shared" si="373"/>
        <v>3.8020788206349501</v>
      </c>
      <c r="DR70" s="229">
        <f t="shared" si="374"/>
        <v>2.9778458431101722</v>
      </c>
      <c r="DS70" s="229">
        <f t="shared" si="375"/>
        <v>2.7060754523184705</v>
      </c>
      <c r="DT70" s="229">
        <f t="shared" si="376"/>
        <v>2.38</v>
      </c>
      <c r="DU70" s="229">
        <f t="shared" si="377"/>
        <v>2.9831999999999996</v>
      </c>
      <c r="DV70" s="229">
        <f t="shared" si="378"/>
        <v>3.3737580042018762</v>
      </c>
      <c r="DW70" s="229">
        <f t="shared" si="284"/>
        <v>3.0116197650331835</v>
      </c>
      <c r="DX70" s="229">
        <f t="shared" si="285"/>
        <v>0.51796442446754953</v>
      </c>
      <c r="DY70" s="229">
        <f t="shared" si="286"/>
        <v>17.198865224668967</v>
      </c>
      <c r="EA70" s="235">
        <f t="shared" si="379"/>
        <v>0.14000000000000001</v>
      </c>
      <c r="EB70" s="235">
        <f t="shared" si="380"/>
        <v>0.21727920897148043</v>
      </c>
      <c r="EC70" s="235">
        <f t="shared" si="381"/>
        <v>0.14000000000000001</v>
      </c>
      <c r="ED70" s="235">
        <f t="shared" si="382"/>
        <v>0.17114671673336124</v>
      </c>
      <c r="EE70" s="235">
        <f t="shared" si="383"/>
        <v>0.13896171988428457</v>
      </c>
      <c r="EF70" s="235">
        <f t="shared" si="384"/>
        <v>0.16147752911782526</v>
      </c>
      <c r="EG70" s="235">
        <f t="shared" si="385"/>
        <v>3.4047212966297036E-2</v>
      </c>
      <c r="EH70" s="235">
        <f t="shared" si="287"/>
        <v>21.084799323040059</v>
      </c>
      <c r="EJ70" s="229">
        <f t="shared" si="386"/>
        <v>7.5426305676856105</v>
      </c>
      <c r="EK70" s="229">
        <f t="shared" si="387"/>
        <v>17.579413902810881</v>
      </c>
      <c r="EL70" s="229">
        <f t="shared" si="388"/>
        <v>6.91</v>
      </c>
      <c r="EM70" s="229">
        <f t="shared" si="389"/>
        <v>14.4</v>
      </c>
      <c r="EN70" s="229">
        <f t="shared" si="390"/>
        <v>22.787740143812872</v>
      </c>
      <c r="EO70" s="229">
        <f t="shared" si="391"/>
        <v>23.936106951491038</v>
      </c>
      <c r="EP70" s="229">
        <f t="shared" si="392"/>
        <v>21.759188802062752</v>
      </c>
      <c r="EQ70" s="229">
        <f t="shared" si="393"/>
        <v>16.416440052551881</v>
      </c>
      <c r="ER70" s="229">
        <f t="shared" si="394"/>
        <v>7.0736512876153093</v>
      </c>
      <c r="ES70" s="229">
        <f t="shared" si="288"/>
        <v>43.088825987676508</v>
      </c>
      <c r="EU70" s="238">
        <f t="shared" si="395"/>
        <v>1.6299687307939167E-2</v>
      </c>
      <c r="EV70" s="238">
        <f t="shared" si="396"/>
        <v>1.6299687307939167E-2</v>
      </c>
      <c r="EW70" s="238" t="e">
        <f t="shared" si="397"/>
        <v>#DIV/0!</v>
      </c>
      <c r="EX70" s="238" t="e">
        <f t="shared" si="289"/>
        <v>#DIV/0!</v>
      </c>
      <c r="EZ70" s="240">
        <f t="shared" si="398"/>
        <v>2.7872465296575975E-2</v>
      </c>
      <c r="FA70" s="240">
        <f t="shared" si="399"/>
        <v>2.7872465296575975E-2</v>
      </c>
      <c r="FB70" s="240" t="e">
        <f t="shared" si="400"/>
        <v>#DIV/0!</v>
      </c>
      <c r="FC70" s="240" t="e">
        <f t="shared" si="290"/>
        <v>#DIV/0!</v>
      </c>
      <c r="FE70" s="236">
        <f t="shared" si="401"/>
        <v>0.9</v>
      </c>
      <c r="FF70" s="236">
        <f t="shared" si="402"/>
        <v>1.2</v>
      </c>
      <c r="FG70" s="236">
        <f t="shared" si="403"/>
        <v>1.3356635930329912</v>
      </c>
      <c r="FH70" s="236">
        <f t="shared" si="404"/>
        <v>1.3447242029049813</v>
      </c>
      <c r="FI70" s="236">
        <f t="shared" si="405"/>
        <v>0.9</v>
      </c>
      <c r="FJ70" s="236">
        <f t="shared" si="406"/>
        <v>1.1409781115557416</v>
      </c>
      <c r="FK70" s="236">
        <f t="shared" si="291"/>
        <v>1.136894317915619</v>
      </c>
      <c r="FL70" s="236">
        <f t="shared" si="292"/>
        <v>0.19946895800029607</v>
      </c>
      <c r="FM70" s="236">
        <f t="shared" si="293"/>
        <v>17.54507475822399</v>
      </c>
      <c r="FO70" s="227">
        <f t="shared" si="407"/>
        <v>0.3</v>
      </c>
      <c r="FP70" s="227">
        <f t="shared" si="408"/>
        <v>0.32</v>
      </c>
      <c r="FQ70" s="227">
        <f t="shared" si="409"/>
        <v>0.35166562211562835</v>
      </c>
      <c r="FR70" s="227">
        <f t="shared" si="410"/>
        <v>0.3</v>
      </c>
      <c r="FS70" s="227">
        <f t="shared" si="411"/>
        <v>0.36674296442863119</v>
      </c>
      <c r="FT70" s="227">
        <f t="shared" si="294"/>
        <v>0.32768171730885187</v>
      </c>
      <c r="FU70" s="227">
        <f t="shared" si="295"/>
        <v>3.0383270246471486E-2</v>
      </c>
      <c r="FV70" s="227">
        <f t="shared" si="296"/>
        <v>9.2721896406060864</v>
      </c>
      <c r="FX70" s="230">
        <f t="shared" si="412"/>
        <v>2.94</v>
      </c>
      <c r="FY70" s="230">
        <f t="shared" si="413"/>
        <v>1.7114671673336126</v>
      </c>
      <c r="FZ70" s="230">
        <f t="shared" si="414"/>
        <v>2.94</v>
      </c>
      <c r="GA70" s="230">
        <f t="shared" si="415"/>
        <v>4.0731039979422414</v>
      </c>
      <c r="GB70" s="230">
        <f t="shared" si="297"/>
        <v>2.916142791318963</v>
      </c>
      <c r="GC70" s="230">
        <f t="shared" si="298"/>
        <v>0.96452767810084017</v>
      </c>
      <c r="GD70" s="230">
        <f t="shared" si="299"/>
        <v>33.075461221313759</v>
      </c>
      <c r="GF70" s="231">
        <f t="shared" si="416"/>
        <v>0.06</v>
      </c>
      <c r="GG70" s="231">
        <f t="shared" si="417"/>
        <v>0.05</v>
      </c>
      <c r="GH70" s="231">
        <f t="shared" si="418"/>
        <v>0.06</v>
      </c>
      <c r="GI70" s="231">
        <f t="shared" si="419"/>
        <v>6.519874923175667E-2</v>
      </c>
      <c r="GJ70" s="245">
        <f t="shared" ref="GJ70:GJ84" si="432">AVERAGE(GF70:GI70)</f>
        <v>5.8799687307939164E-2</v>
      </c>
      <c r="GK70" s="231">
        <f t="shared" ref="GK70:GK84" si="433">STDEV(GF70:GI70)</f>
        <v>6.3577771623894146E-3</v>
      </c>
      <c r="GL70" s="231">
        <f t="shared" si="300"/>
        <v>10.812603694800575</v>
      </c>
      <c r="GN70" s="246">
        <f t="shared" si="420"/>
        <v>0.18</v>
      </c>
      <c r="GO70" s="246">
        <f t="shared" si="421"/>
        <v>0.18</v>
      </c>
      <c r="GP70" s="246">
        <f t="shared" si="422"/>
        <v>0.17114671673336124</v>
      </c>
      <c r="GQ70" s="247">
        <f t="shared" ref="GQ70:GQ84" si="434">AVERAGE(GM70:GP70)</f>
        <v>0.17704890557778707</v>
      </c>
      <c r="GR70" s="246">
        <f t="shared" ref="GR70:GR76" si="435">STDEV(GM70:GP70)</f>
        <v>5.1114454772058955E-3</v>
      </c>
      <c r="GS70" s="246">
        <f t="shared" si="301"/>
        <v>2.8870246108130635</v>
      </c>
      <c r="GU70" s="249">
        <f t="shared" si="423"/>
        <v>2.2330571611876657E-2</v>
      </c>
      <c r="GV70" s="249">
        <f t="shared" si="424"/>
        <v>2.2330571611876657E-2</v>
      </c>
      <c r="GW70" s="249" t="e">
        <f t="shared" si="425"/>
        <v>#DIV/0!</v>
      </c>
      <c r="GX70" s="249" t="e">
        <f t="shared" si="302"/>
        <v>#DIV/0!</v>
      </c>
      <c r="GZ70" s="240">
        <f t="shared" si="426"/>
        <v>2.4449530961908751E-2</v>
      </c>
      <c r="HA70" s="240">
        <f t="shared" si="427"/>
        <v>2.4449530961908751E-2</v>
      </c>
      <c r="HB70" s="240" t="e">
        <f t="shared" si="428"/>
        <v>#DIV/0!</v>
      </c>
      <c r="HC70" s="240" t="e">
        <f t="shared" si="303"/>
        <v>#DIV/0!</v>
      </c>
      <c r="HE70" s="234">
        <f t="shared" si="429"/>
        <v>9.6552939482238018E-2</v>
      </c>
      <c r="HF70" s="251">
        <f t="shared" si="430"/>
        <v>9.6552939482238018E-2</v>
      </c>
      <c r="HG70" s="234" t="e">
        <f t="shared" si="431"/>
        <v>#DIV/0!</v>
      </c>
      <c r="HH70" s="234" t="e">
        <f t="shared" si="304"/>
        <v>#DIV/0!</v>
      </c>
    </row>
    <row r="71" spans="2:216" ht="15.6" x14ac:dyDescent="0.25">
      <c r="B71">
        <v>67</v>
      </c>
      <c r="C71" s="124">
        <f t="shared" si="305"/>
        <v>81.607563926605508</v>
      </c>
      <c r="D71" s="124">
        <f t="shared" si="306"/>
        <v>170.93575709737433</v>
      </c>
      <c r="E71" s="29">
        <f t="shared" si="254"/>
        <v>2.0104132339734515</v>
      </c>
      <c r="F71" s="29">
        <f t="shared" si="255"/>
        <v>1.9393474187301047</v>
      </c>
      <c r="G71" s="29">
        <f t="shared" si="256"/>
        <v>1.9846305491853742</v>
      </c>
      <c r="H71" s="29">
        <f t="shared" si="257"/>
        <v>2.0104132339734515</v>
      </c>
      <c r="I71" s="29">
        <f t="shared" si="258"/>
        <v>1.968477325008871</v>
      </c>
      <c r="J71" s="125">
        <f t="shared" si="259"/>
        <v>1.9826563521742506</v>
      </c>
      <c r="K71" s="126">
        <f t="shared" si="307"/>
        <v>3.0089429022890996E-2</v>
      </c>
      <c r="L71" s="126">
        <f t="shared" si="308"/>
        <v>1.5176320893882529</v>
      </c>
      <c r="N71" s="138">
        <f t="shared" si="309"/>
        <v>416.35783395659263</v>
      </c>
      <c r="O71" s="138">
        <f t="shared" si="310"/>
        <v>325.79239999999999</v>
      </c>
      <c r="P71" s="138">
        <f t="shared" si="311"/>
        <v>324.96654647910253</v>
      </c>
      <c r="Q71" s="138">
        <f t="shared" si="312"/>
        <v>430.5415696475817</v>
      </c>
      <c r="R71" s="138">
        <f t="shared" si="313"/>
        <v>416.35783395659263</v>
      </c>
      <c r="S71" s="138">
        <f t="shared" si="314"/>
        <v>335.35469999999998</v>
      </c>
      <c r="T71" s="138">
        <f t="shared" si="315"/>
        <v>374.89514733997822</v>
      </c>
      <c r="U71" s="138">
        <f t="shared" si="316"/>
        <v>50.994558601237472</v>
      </c>
      <c r="V71" s="138">
        <f t="shared" si="317"/>
        <v>13.602352274512755</v>
      </c>
      <c r="X71" s="227">
        <f t="shared" si="318"/>
        <v>0.43916264045000003</v>
      </c>
      <c r="Y71" s="227">
        <f t="shared" si="319"/>
        <v>0.47</v>
      </c>
      <c r="Z71" s="227">
        <f t="shared" si="320"/>
        <v>0.43916264045000003</v>
      </c>
      <c r="AA71" s="227">
        <f t="shared" si="321"/>
        <v>0.44944176029999999</v>
      </c>
      <c r="AB71" s="227">
        <f t="shared" si="322"/>
        <v>1.7803957837289743E-2</v>
      </c>
      <c r="AC71" s="227">
        <f t="shared" si="323"/>
        <v>3.9613492581120404</v>
      </c>
      <c r="AE71" s="228">
        <f t="shared" si="324"/>
        <v>4.4262339400184132</v>
      </c>
      <c r="AF71" s="228">
        <f t="shared" si="325"/>
        <v>5.2850000000000001</v>
      </c>
      <c r="AG71" s="228">
        <f t="shared" si="326"/>
        <v>4.4262339400184132</v>
      </c>
      <c r="AH71" s="228">
        <f t="shared" si="327"/>
        <v>7.3178679115872027</v>
      </c>
      <c r="AI71" s="228">
        <f t="shared" si="328"/>
        <v>5.2850000000000001</v>
      </c>
      <c r="AJ71" s="228">
        <f t="shared" si="329"/>
        <v>6.2103356148146789</v>
      </c>
      <c r="AK71" s="228">
        <f t="shared" si="330"/>
        <v>5.4643826912643902</v>
      </c>
      <c r="AL71" s="228">
        <f t="shared" si="331"/>
        <v>5.4878648711004425</v>
      </c>
      <c r="AM71" s="228">
        <f t="shared" si="332"/>
        <v>1.0171738048794017</v>
      </c>
      <c r="AN71" s="228">
        <f t="shared" si="333"/>
        <v>18.534964485658609</v>
      </c>
      <c r="AP71" s="229">
        <f t="shared" si="192"/>
        <v>1.4242340893703453</v>
      </c>
      <c r="AQ71" s="229">
        <f t="shared" si="193"/>
        <v>1.4</v>
      </c>
      <c r="AR71" s="229">
        <f t="shared" si="194"/>
        <v>1.47</v>
      </c>
      <c r="AS71" s="229">
        <f t="shared" si="195"/>
        <v>1.3188746764262445</v>
      </c>
      <c r="AT71" s="229">
        <f t="shared" si="196"/>
        <v>1.4242340893703453</v>
      </c>
      <c r="AU71" s="229">
        <f t="shared" si="197"/>
        <v>1.2349514147936376</v>
      </c>
      <c r="AV71" s="229">
        <f t="shared" si="198"/>
        <v>1.4</v>
      </c>
      <c r="AW71" s="229">
        <f t="shared" si="199"/>
        <v>1.4499999999998268</v>
      </c>
      <c r="AX71" s="229">
        <f t="shared" si="200"/>
        <v>1.365020650225341</v>
      </c>
      <c r="AY71" s="229">
        <f t="shared" si="334"/>
        <v>1.3874794355761935</v>
      </c>
      <c r="AZ71" s="229">
        <f t="shared" si="335"/>
        <v>7.2637464410602676E-2</v>
      </c>
      <c r="BA71" s="229">
        <f t="shared" si="336"/>
        <v>5.2352101622636118</v>
      </c>
      <c r="BC71" s="230">
        <f t="shared" si="337"/>
        <v>9.65</v>
      </c>
      <c r="BD71" s="230">
        <f t="shared" si="338"/>
        <v>11.73</v>
      </c>
      <c r="BE71" s="230">
        <f t="shared" si="339"/>
        <v>9.65</v>
      </c>
      <c r="BF71" s="230">
        <f t="shared" si="340"/>
        <v>8.8084307692307693</v>
      </c>
      <c r="BG71" s="230">
        <f t="shared" si="341"/>
        <v>9.9596076923076922</v>
      </c>
      <c r="BH71" s="230">
        <f t="shared" si="342"/>
        <v>1.2451520760711854</v>
      </c>
      <c r="BI71" s="230">
        <f t="shared" si="343"/>
        <v>12.502019301753013</v>
      </c>
      <c r="BK71" s="227">
        <f t="shared" si="260"/>
        <v>19.600000000000001</v>
      </c>
      <c r="BL71" s="227">
        <f t="shared" si="261"/>
        <v>31.73</v>
      </c>
      <c r="BM71" s="227">
        <f t="shared" si="262"/>
        <v>40.418397414075457</v>
      </c>
      <c r="BN71" s="227">
        <f t="shared" si="263"/>
        <v>22.988926652872518</v>
      </c>
      <c r="BO71" s="227">
        <f t="shared" si="264"/>
        <v>19.600000000000001</v>
      </c>
      <c r="BP71" s="227">
        <f t="shared" si="265"/>
        <v>24.943984216011426</v>
      </c>
      <c r="BQ71" s="227">
        <f t="shared" si="266"/>
        <v>31.86</v>
      </c>
      <c r="BR71" s="227">
        <f t="shared" si="344"/>
        <v>27.305901183279918</v>
      </c>
      <c r="BS71" s="227">
        <f t="shared" si="345"/>
        <v>7.6944435658097703</v>
      </c>
      <c r="BT71" s="227">
        <f t="shared" si="267"/>
        <v>28.178683846264224</v>
      </c>
      <c r="BV71" s="231">
        <f t="shared" si="346"/>
        <v>0.26</v>
      </c>
      <c r="BW71" s="231">
        <f t="shared" si="347"/>
        <v>0.30914268130704592</v>
      </c>
      <c r="BX71" s="231">
        <f t="shared" si="348"/>
        <v>0.32791270105014858</v>
      </c>
      <c r="BY71" s="231">
        <f t="shared" si="349"/>
        <v>0.26</v>
      </c>
      <c r="BZ71" s="231">
        <f t="shared" si="350"/>
        <v>0.34275189694782937</v>
      </c>
      <c r="CA71" s="231">
        <f t="shared" si="351"/>
        <v>0.30982830068569578</v>
      </c>
      <c r="CB71" s="231">
        <f t="shared" si="352"/>
        <v>0.48</v>
      </c>
      <c r="CC71" s="231">
        <f t="shared" si="353"/>
        <v>0.44069947834113887</v>
      </c>
      <c r="CD71" s="231">
        <f t="shared" si="354"/>
        <v>0.34129188229148233</v>
      </c>
      <c r="CE71" s="231">
        <f t="shared" si="355"/>
        <v>7.9770397793097289E-2</v>
      </c>
      <c r="CF71" s="231">
        <f t="shared" si="268"/>
        <v>23.373072121583284</v>
      </c>
      <c r="CH71" s="232">
        <f t="shared" si="356"/>
        <v>1.4757601059552228</v>
      </c>
      <c r="CI71" s="232">
        <f t="shared" si="357"/>
        <v>1.52</v>
      </c>
      <c r="CJ71" s="232">
        <f t="shared" si="358"/>
        <v>2.1</v>
      </c>
      <c r="CK71" s="232">
        <f t="shared" si="359"/>
        <v>2.0157074286956855</v>
      </c>
      <c r="CL71" s="232">
        <f t="shared" si="360"/>
        <v>1.8452106946904479</v>
      </c>
      <c r="CM71" s="232">
        <f t="shared" si="361"/>
        <v>1.5529618434212165</v>
      </c>
      <c r="CN71" s="232">
        <f t="shared" si="362"/>
        <v>1.4786513079985422</v>
      </c>
      <c r="CO71" s="232">
        <f t="shared" si="363"/>
        <v>1.9125084388887963</v>
      </c>
      <c r="CP71" s="232">
        <f t="shared" si="364"/>
        <v>1.52</v>
      </c>
      <c r="CQ71" s="232">
        <f t="shared" si="365"/>
        <v>1.4787959063252776</v>
      </c>
      <c r="CR71" s="232">
        <f t="shared" si="366"/>
        <v>1.6899595725975189</v>
      </c>
      <c r="CS71" s="232">
        <f t="shared" si="367"/>
        <v>0.24934119979599143</v>
      </c>
      <c r="CT71" s="232">
        <f t="shared" si="269"/>
        <v>14.754270092552952</v>
      </c>
      <c r="CV71" s="229">
        <f t="shared" si="270"/>
        <v>0.83</v>
      </c>
      <c r="CW71" s="229">
        <f t="shared" si="271"/>
        <v>1.19</v>
      </c>
      <c r="CX71" s="229">
        <f t="shared" si="272"/>
        <v>0.80609828117585258</v>
      </c>
      <c r="CY71" s="229">
        <f t="shared" si="273"/>
        <v>0.50732778881333496</v>
      </c>
      <c r="CZ71" s="229">
        <f t="shared" si="274"/>
        <v>1.2148800397382697</v>
      </c>
      <c r="DA71" s="229">
        <f t="shared" si="275"/>
        <v>0.83</v>
      </c>
      <c r="DB71" s="229">
        <f t="shared" si="276"/>
        <v>0.55493143470091744</v>
      </c>
      <c r="DC71" s="229">
        <f t="shared" si="277"/>
        <v>0.89</v>
      </c>
      <c r="DD71" s="229">
        <f t="shared" si="278"/>
        <v>0.85290469305354677</v>
      </c>
      <c r="DE71" s="229">
        <f t="shared" si="279"/>
        <v>0.25564680125082512</v>
      </c>
      <c r="DF71" s="229">
        <f t="shared" si="280"/>
        <v>29.973665678349736</v>
      </c>
      <c r="DH71" s="234">
        <f t="shared" si="368"/>
        <v>9.9159999999999998E-2</v>
      </c>
      <c r="DI71" s="234">
        <f t="shared" si="369"/>
        <v>0.13400000000000001</v>
      </c>
      <c r="DJ71" s="234">
        <f t="shared" si="370"/>
        <v>0.1115480717813309</v>
      </c>
      <c r="DK71" s="234">
        <f t="shared" si="281"/>
        <v>0.11490269059377696</v>
      </c>
      <c r="DL71" s="234">
        <f t="shared" si="282"/>
        <v>1.7660591737895262E-2</v>
      </c>
      <c r="DM71" s="234">
        <f t="shared" si="283"/>
        <v>15.370041942996718</v>
      </c>
      <c r="DO71" s="229">
        <f t="shared" si="371"/>
        <v>2.38</v>
      </c>
      <c r="DP71" s="229">
        <f t="shared" si="372"/>
        <v>3.49</v>
      </c>
      <c r="DQ71" s="229">
        <f t="shared" si="373"/>
        <v>3.7971385058069664</v>
      </c>
      <c r="DR71" s="229">
        <f t="shared" si="374"/>
        <v>2.9739845282613762</v>
      </c>
      <c r="DS71" s="229">
        <f t="shared" si="375"/>
        <v>2.7089990915216036</v>
      </c>
      <c r="DT71" s="229">
        <f t="shared" si="376"/>
        <v>2.38</v>
      </c>
      <c r="DU71" s="229">
        <f t="shared" si="377"/>
        <v>3.0284</v>
      </c>
      <c r="DV71" s="229">
        <f t="shared" si="378"/>
        <v>3.359545018369555</v>
      </c>
      <c r="DW71" s="229">
        <f t="shared" si="284"/>
        <v>3.014758392994938</v>
      </c>
      <c r="DX71" s="229">
        <f t="shared" si="285"/>
        <v>0.51520104673102529</v>
      </c>
      <c r="DY71" s="229">
        <f t="shared" si="286"/>
        <v>17.089298032245011</v>
      </c>
      <c r="EA71" s="235">
        <f t="shared" si="379"/>
        <v>0.14000000000000001</v>
      </c>
      <c r="EB71" s="235">
        <f t="shared" si="380"/>
        <v>0.21752054414151423</v>
      </c>
      <c r="EC71" s="235">
        <f t="shared" si="381"/>
        <v>0.14000000000000001</v>
      </c>
      <c r="ED71" s="235">
        <f t="shared" si="382"/>
        <v>0.17137588424587155</v>
      </c>
      <c r="EE71" s="235">
        <f t="shared" si="383"/>
        <v>0.13854022320988088</v>
      </c>
      <c r="EF71" s="235">
        <f t="shared" si="384"/>
        <v>0.16148733031945334</v>
      </c>
      <c r="EG71" s="235">
        <f t="shared" si="385"/>
        <v>3.4232605083448102E-2</v>
      </c>
      <c r="EH71" s="235">
        <f t="shared" si="287"/>
        <v>21.19832250352356</v>
      </c>
      <c r="EJ71" s="229">
        <f t="shared" si="386"/>
        <v>7.5426305676856105</v>
      </c>
      <c r="EK71" s="229">
        <f t="shared" si="387"/>
        <v>17.729982528624774</v>
      </c>
      <c r="EL71" s="229">
        <f t="shared" si="388"/>
        <v>6.91</v>
      </c>
      <c r="EM71" s="229">
        <f t="shared" si="389"/>
        <v>14.4</v>
      </c>
      <c r="EN71" s="229">
        <f t="shared" si="390"/>
        <v>22.828283447986244</v>
      </c>
      <c r="EO71" s="229">
        <f t="shared" si="391"/>
        <v>24.228779818489365</v>
      </c>
      <c r="EP71" s="229">
        <f t="shared" si="392"/>
        <v>21.836666996294365</v>
      </c>
      <c r="EQ71" s="229">
        <f t="shared" si="393"/>
        <v>16.496620479868621</v>
      </c>
      <c r="ER71" s="229">
        <f t="shared" si="394"/>
        <v>7.1459378639157736</v>
      </c>
      <c r="ES71" s="229">
        <f t="shared" si="288"/>
        <v>43.317586608943337</v>
      </c>
      <c r="EU71" s="238">
        <f t="shared" si="395"/>
        <v>1.6321512785321103E-2</v>
      </c>
      <c r="EV71" s="238">
        <f t="shared" si="396"/>
        <v>1.6321512785321103E-2</v>
      </c>
      <c r="EW71" s="238" t="e">
        <f t="shared" si="397"/>
        <v>#DIV/0!</v>
      </c>
      <c r="EX71" s="238" t="e">
        <f t="shared" si="289"/>
        <v>#DIV/0!</v>
      </c>
      <c r="EZ71" s="240">
        <f t="shared" si="398"/>
        <v>2.7909786862899084E-2</v>
      </c>
      <c r="FA71" s="240">
        <f t="shared" si="399"/>
        <v>2.7909786862899084E-2</v>
      </c>
      <c r="FB71" s="240" t="e">
        <f t="shared" si="400"/>
        <v>#DIV/0!</v>
      </c>
      <c r="FC71" s="240" t="e">
        <f t="shared" si="290"/>
        <v>#DIV/0!</v>
      </c>
      <c r="FE71" s="236">
        <f t="shared" si="401"/>
        <v>0.9</v>
      </c>
      <c r="FF71" s="236">
        <f t="shared" si="402"/>
        <v>1.2</v>
      </c>
      <c r="FG71" s="236">
        <f t="shared" si="403"/>
        <v>1.335990847688834</v>
      </c>
      <c r="FH71" s="236">
        <f t="shared" si="404"/>
        <v>1.3465248047889908</v>
      </c>
      <c r="FI71" s="236">
        <f t="shared" si="405"/>
        <v>0.9</v>
      </c>
      <c r="FJ71" s="236">
        <f t="shared" si="406"/>
        <v>1.1425058949724771</v>
      </c>
      <c r="FK71" s="236">
        <f t="shared" si="291"/>
        <v>1.1375035912417171</v>
      </c>
      <c r="FL71" s="236">
        <f t="shared" si="292"/>
        <v>0.19991687999786381</v>
      </c>
      <c r="FM71" s="236">
        <f t="shared" si="293"/>
        <v>17.57505484265165</v>
      </c>
      <c r="FO71" s="227">
        <f t="shared" si="407"/>
        <v>0.3</v>
      </c>
      <c r="FP71" s="227">
        <f t="shared" si="408"/>
        <v>0.32</v>
      </c>
      <c r="FQ71" s="227">
        <f t="shared" si="409"/>
        <v>0.35061300564945741</v>
      </c>
      <c r="FR71" s="227">
        <f t="shared" si="410"/>
        <v>0.3</v>
      </c>
      <c r="FS71" s="227">
        <f t="shared" si="411"/>
        <v>0.36723403766972473</v>
      </c>
      <c r="FT71" s="227">
        <f t="shared" si="294"/>
        <v>0.32756940866383644</v>
      </c>
      <c r="FU71" s="227">
        <f t="shared" si="295"/>
        <v>3.0338633340502821E-2</v>
      </c>
      <c r="FV71" s="227">
        <f t="shared" si="296"/>
        <v>9.2617419508906043</v>
      </c>
      <c r="FX71" s="230">
        <f t="shared" si="412"/>
        <v>2.94</v>
      </c>
      <c r="FY71" s="230">
        <f t="shared" si="413"/>
        <v>1.7137588424587158</v>
      </c>
      <c r="FZ71" s="230">
        <f t="shared" si="414"/>
        <v>2.94</v>
      </c>
      <c r="GA71" s="230">
        <f t="shared" si="415"/>
        <v>4.0787508005250492</v>
      </c>
      <c r="GB71" s="230">
        <f t="shared" si="297"/>
        <v>2.9181274107459414</v>
      </c>
      <c r="GC71" s="230">
        <f t="shared" si="298"/>
        <v>0.96583420273217935</v>
      </c>
      <c r="GD71" s="230">
        <f t="shared" si="299"/>
        <v>33.09773929594423</v>
      </c>
      <c r="GF71" s="231">
        <f t="shared" si="416"/>
        <v>0.06</v>
      </c>
      <c r="GG71" s="231">
        <f t="shared" si="417"/>
        <v>0.05</v>
      </c>
      <c r="GH71" s="231">
        <f t="shared" si="418"/>
        <v>0.06</v>
      </c>
      <c r="GI71" s="231">
        <f t="shared" si="419"/>
        <v>6.5286051141284412E-2</v>
      </c>
      <c r="GJ71" s="245">
        <f t="shared" si="432"/>
        <v>5.8821512785321099E-2</v>
      </c>
      <c r="GK71" s="231">
        <f t="shared" si="433"/>
        <v>6.3871487694074072E-3</v>
      </c>
      <c r="GL71" s="231">
        <f t="shared" si="300"/>
        <v>10.858525167005428</v>
      </c>
      <c r="GN71" s="246">
        <f t="shared" si="420"/>
        <v>0.18</v>
      </c>
      <c r="GO71" s="246">
        <f t="shared" si="421"/>
        <v>0.18</v>
      </c>
      <c r="GP71" s="246">
        <f t="shared" si="422"/>
        <v>0.17137588424587155</v>
      </c>
      <c r="GQ71" s="247">
        <f t="shared" si="434"/>
        <v>0.17712529474862385</v>
      </c>
      <c r="GR71" s="246">
        <f t="shared" si="435"/>
        <v>4.9791355521685487E-3</v>
      </c>
      <c r="GS71" s="246">
        <f t="shared" si="301"/>
        <v>2.8110810255728502</v>
      </c>
      <c r="GU71" s="249">
        <f t="shared" si="423"/>
        <v>2.236047251588991E-2</v>
      </c>
      <c r="GV71" s="249">
        <f t="shared" si="424"/>
        <v>2.236047251588991E-2</v>
      </c>
      <c r="GW71" s="249" t="e">
        <f t="shared" si="425"/>
        <v>#DIV/0!</v>
      </c>
      <c r="GX71" s="249" t="e">
        <f t="shared" si="302"/>
        <v>#DIV/0!</v>
      </c>
      <c r="GZ71" s="240">
        <f t="shared" si="426"/>
        <v>2.4482269177981655E-2</v>
      </c>
      <c r="HA71" s="240">
        <f t="shared" si="427"/>
        <v>2.4482269177981655E-2</v>
      </c>
      <c r="HB71" s="240" t="e">
        <f t="shared" si="428"/>
        <v>#DIV/0!</v>
      </c>
      <c r="HC71" s="240" t="e">
        <f t="shared" si="303"/>
        <v>#DIV/0!</v>
      </c>
      <c r="HE71" s="234">
        <f t="shared" si="429"/>
        <v>9.6682801072660543E-2</v>
      </c>
      <c r="HF71" s="251">
        <f t="shared" si="430"/>
        <v>9.6682801072660543E-2</v>
      </c>
      <c r="HG71" s="234" t="e">
        <f t="shared" si="431"/>
        <v>#DIV/0!</v>
      </c>
      <c r="HH71" s="234" t="e">
        <f t="shared" si="304"/>
        <v>#DIV/0!</v>
      </c>
    </row>
    <row r="72" spans="2:216" ht="15.6" x14ac:dyDescent="0.25">
      <c r="B72">
        <v>68</v>
      </c>
      <c r="C72" s="124">
        <f t="shared" si="305"/>
        <v>81.671055119513767</v>
      </c>
      <c r="D72" s="124">
        <f t="shared" si="306"/>
        <v>170.21954513793935</v>
      </c>
      <c r="E72" s="29">
        <f t="shared" si="254"/>
        <v>2.007682798911341</v>
      </c>
      <c r="F72" s="29">
        <f t="shared" si="255"/>
        <v>1.9340919972969746</v>
      </c>
      <c r="G72" s="29">
        <f t="shared" si="256"/>
        <v>1.9819107808334546</v>
      </c>
      <c r="H72" s="29">
        <f t="shared" si="257"/>
        <v>2.007682798911341</v>
      </c>
      <c r="I72" s="29">
        <f t="shared" si="258"/>
        <v>1.9651130765725533</v>
      </c>
      <c r="J72" s="125">
        <f t="shared" si="259"/>
        <v>1.979296290505133</v>
      </c>
      <c r="K72" s="126">
        <f t="shared" si="307"/>
        <v>3.1076578642825252E-2</v>
      </c>
      <c r="L72" s="126">
        <f t="shared" si="308"/>
        <v>1.5700821949650727</v>
      </c>
      <c r="N72" s="138">
        <f t="shared" si="309"/>
        <v>415.65222100607787</v>
      </c>
      <c r="O72" s="138">
        <f t="shared" si="310"/>
        <v>325.79239999999999</v>
      </c>
      <c r="P72" s="138">
        <f t="shared" si="311"/>
        <v>322.64570922042361</v>
      </c>
      <c r="Q72" s="138">
        <f t="shared" si="312"/>
        <v>430.79642007366937</v>
      </c>
      <c r="R72" s="138">
        <f t="shared" si="313"/>
        <v>415.65222100607787</v>
      </c>
      <c r="S72" s="138">
        <f t="shared" si="314"/>
        <v>331.74720000000002</v>
      </c>
      <c r="T72" s="138">
        <f t="shared" si="315"/>
        <v>373.71436188437474</v>
      </c>
      <c r="U72" s="138">
        <f t="shared" si="316"/>
        <v>51.849192500824621</v>
      </c>
      <c r="V72" s="138">
        <f t="shared" si="317"/>
        <v>13.874016572278936</v>
      </c>
      <c r="X72" s="227">
        <f t="shared" si="318"/>
        <v>0.43946709279999996</v>
      </c>
      <c r="Y72" s="227">
        <f t="shared" si="319"/>
        <v>0.47</v>
      </c>
      <c r="Z72" s="227">
        <f t="shared" si="320"/>
        <v>0.43946709279999996</v>
      </c>
      <c r="AA72" s="227">
        <f t="shared" si="321"/>
        <v>0.44964472853333332</v>
      </c>
      <c r="AB72" s="227">
        <f t="shared" si="322"/>
        <v>1.762818219106187E-2</v>
      </c>
      <c r="AC72" s="227">
        <f t="shared" si="323"/>
        <v>3.9204689997283153</v>
      </c>
      <c r="AE72" s="228">
        <f t="shared" si="324"/>
        <v>4.4171725183998634</v>
      </c>
      <c r="AF72" s="228">
        <f t="shared" si="325"/>
        <v>5.2850000000000001</v>
      </c>
      <c r="AG72" s="228">
        <f t="shared" si="326"/>
        <v>4.4171725183998634</v>
      </c>
      <c r="AH72" s="228">
        <f t="shared" si="327"/>
        <v>7.3235594440573228</v>
      </c>
      <c r="AI72" s="228">
        <f t="shared" si="328"/>
        <v>5.2850000000000001</v>
      </c>
      <c r="AJ72" s="228">
        <f t="shared" si="329"/>
        <v>6.2151672945949974</v>
      </c>
      <c r="AK72" s="228">
        <f t="shared" si="330"/>
        <v>5.4538270258321626</v>
      </c>
      <c r="AL72" s="228">
        <f t="shared" si="331"/>
        <v>5.4852712573263158</v>
      </c>
      <c r="AM72" s="228">
        <f t="shared" si="332"/>
        <v>1.022654015100275</v>
      </c>
      <c r="AN72" s="228">
        <f t="shared" si="333"/>
        <v>18.643636150798983</v>
      </c>
      <c r="AP72" s="229">
        <f t="shared" si="192"/>
        <v>1.4245349904078739</v>
      </c>
      <c r="AQ72" s="229">
        <f t="shared" si="193"/>
        <v>1.4</v>
      </c>
      <c r="AR72" s="229">
        <f t="shared" si="194"/>
        <v>1.47</v>
      </c>
      <c r="AS72" s="229">
        <f t="shared" si="195"/>
        <v>1.3108987618985768</v>
      </c>
      <c r="AT72" s="229">
        <f t="shared" si="196"/>
        <v>1.4245349904078739</v>
      </c>
      <c r="AU72" s="229">
        <f t="shared" si="197"/>
        <v>1.2527159583800942</v>
      </c>
      <c r="AV72" s="229">
        <f t="shared" si="198"/>
        <v>1.4</v>
      </c>
      <c r="AW72" s="229">
        <f t="shared" si="199"/>
        <v>1.4499999999998885</v>
      </c>
      <c r="AX72" s="229">
        <f t="shared" si="200"/>
        <v>1.3628522302683255</v>
      </c>
      <c r="AY72" s="229">
        <f t="shared" si="334"/>
        <v>1.3883929923736258</v>
      </c>
      <c r="AZ72" s="229">
        <f t="shared" si="335"/>
        <v>6.9284742383701955E-2</v>
      </c>
      <c r="BA72" s="229">
        <f t="shared" si="336"/>
        <v>4.9902832097453409</v>
      </c>
      <c r="BC72" s="230">
        <f t="shared" si="337"/>
        <v>9.65</v>
      </c>
      <c r="BD72" s="230">
        <f t="shared" si="338"/>
        <v>11.73</v>
      </c>
      <c r="BE72" s="230">
        <f t="shared" si="339"/>
        <v>9.65</v>
      </c>
      <c r="BF72" s="230">
        <f t="shared" si="340"/>
        <v>8.8025846153846157</v>
      </c>
      <c r="BG72" s="230">
        <f t="shared" si="341"/>
        <v>9.9581461538461546</v>
      </c>
      <c r="BH72" s="230">
        <f t="shared" si="342"/>
        <v>1.2469558433189873</v>
      </c>
      <c r="BI72" s="230">
        <f t="shared" si="343"/>
        <v>12.521967684089203</v>
      </c>
      <c r="BK72" s="227">
        <f t="shared" si="260"/>
        <v>19.600000000000001</v>
      </c>
      <c r="BL72" s="227">
        <f t="shared" si="261"/>
        <v>31.73</v>
      </c>
      <c r="BM72" s="227">
        <f t="shared" si="262"/>
        <v>40.344217263685159</v>
      </c>
      <c r="BN72" s="227">
        <f t="shared" si="263"/>
        <v>22.994528118185986</v>
      </c>
      <c r="BO72" s="227">
        <f t="shared" si="264"/>
        <v>19.600000000000001</v>
      </c>
      <c r="BP72" s="227">
        <f t="shared" si="265"/>
        <v>24.608777831054351</v>
      </c>
      <c r="BQ72" s="227">
        <f t="shared" si="266"/>
        <v>31.86</v>
      </c>
      <c r="BR72" s="227">
        <f t="shared" si="344"/>
        <v>27.248217601846502</v>
      </c>
      <c r="BS72" s="227">
        <f t="shared" si="345"/>
        <v>7.6910239781256982</v>
      </c>
      <c r="BT72" s="227">
        <f t="shared" si="267"/>
        <v>28.225787427668326</v>
      </c>
      <c r="BV72" s="231">
        <f t="shared" si="346"/>
        <v>0.26</v>
      </c>
      <c r="BW72" s="231">
        <f t="shared" si="347"/>
        <v>0.30886876397341767</v>
      </c>
      <c r="BX72" s="231">
        <f t="shared" si="348"/>
        <v>0.32810285543350093</v>
      </c>
      <c r="BY72" s="231">
        <f t="shared" si="349"/>
        <v>0.26</v>
      </c>
      <c r="BZ72" s="231">
        <f t="shared" si="350"/>
        <v>0.34301853487712891</v>
      </c>
      <c r="CA72" s="231">
        <f t="shared" si="351"/>
        <v>0.30867084970362274</v>
      </c>
      <c r="CB72" s="231">
        <f t="shared" si="352"/>
        <v>0.48</v>
      </c>
      <c r="CC72" s="231">
        <f t="shared" si="353"/>
        <v>0.43777111045649797</v>
      </c>
      <c r="CD72" s="231">
        <f t="shared" si="354"/>
        <v>0.34080401430552099</v>
      </c>
      <c r="CE72" s="231">
        <f t="shared" si="355"/>
        <v>7.9332340409863783E-2</v>
      </c>
      <c r="CF72" s="231">
        <f t="shared" si="268"/>
        <v>23.277994706583659</v>
      </c>
      <c r="CH72" s="232">
        <f t="shared" si="356"/>
        <v>1.4727766605057371</v>
      </c>
      <c r="CI72" s="232">
        <f t="shared" si="357"/>
        <v>1.52</v>
      </c>
      <c r="CJ72" s="232">
        <f t="shared" si="358"/>
        <v>2.1</v>
      </c>
      <c r="CK72" s="232">
        <f t="shared" si="359"/>
        <v>2.0172755440680628</v>
      </c>
      <c r="CL72" s="232">
        <f t="shared" si="360"/>
        <v>1.8424178145127268</v>
      </c>
      <c r="CM72" s="232">
        <f t="shared" si="361"/>
        <v>1.5539041697028302</v>
      </c>
      <c r="CN72" s="232">
        <f t="shared" si="362"/>
        <v>1.4756620175993624</v>
      </c>
      <c r="CO72" s="232">
        <f t="shared" si="363"/>
        <v>1.9139137353928592</v>
      </c>
      <c r="CP72" s="232">
        <f t="shared" si="364"/>
        <v>1.52</v>
      </c>
      <c r="CQ72" s="232">
        <f t="shared" si="365"/>
        <v>1.4753989966328043</v>
      </c>
      <c r="CR72" s="232">
        <f t="shared" si="366"/>
        <v>1.6891348938414381</v>
      </c>
      <c r="CS72" s="232">
        <f t="shared" si="367"/>
        <v>0.25034925921997464</v>
      </c>
      <c r="CT72" s="232">
        <f t="shared" si="269"/>
        <v>14.821152539844181</v>
      </c>
      <c r="CV72" s="229">
        <f t="shared" si="270"/>
        <v>0.83</v>
      </c>
      <c r="CW72" s="229">
        <f t="shared" si="271"/>
        <v>1.19</v>
      </c>
      <c r="CX72" s="229">
        <f t="shared" si="272"/>
        <v>0.80881245158131099</v>
      </c>
      <c r="CY72" s="229">
        <f t="shared" si="273"/>
        <v>0.50428793803403149</v>
      </c>
      <c r="CZ72" s="229">
        <f t="shared" si="274"/>
        <v>1.2155892886057293</v>
      </c>
      <c r="DA72" s="229">
        <f t="shared" si="275"/>
        <v>0.83</v>
      </c>
      <c r="DB72" s="229">
        <f t="shared" si="276"/>
        <v>0.55536317481269359</v>
      </c>
      <c r="DC72" s="229">
        <f t="shared" si="277"/>
        <v>0.89</v>
      </c>
      <c r="DD72" s="229">
        <f t="shared" si="278"/>
        <v>0.85300660662922068</v>
      </c>
      <c r="DE72" s="229">
        <f t="shared" si="279"/>
        <v>0.25623853651454748</v>
      </c>
      <c r="DF72" s="229">
        <f t="shared" si="280"/>
        <v>30.039455090167618</v>
      </c>
      <c r="DH72" s="234">
        <f t="shared" si="368"/>
        <v>0.10063999999999999</v>
      </c>
      <c r="DI72" s="234">
        <f t="shared" si="369"/>
        <v>0.13600000000000001</v>
      </c>
      <c r="DJ72" s="234">
        <f t="shared" si="370"/>
        <v>0.1111210187467977</v>
      </c>
      <c r="DK72" s="234">
        <f t="shared" si="281"/>
        <v>0.1159203395822659</v>
      </c>
      <c r="DL72" s="234">
        <f t="shared" si="282"/>
        <v>1.8161979802910216E-2</v>
      </c>
      <c r="DM72" s="234">
        <f t="shared" si="283"/>
        <v>15.667638542432918</v>
      </c>
      <c r="DO72" s="229">
        <f t="shared" si="371"/>
        <v>2.38</v>
      </c>
      <c r="DP72" s="229">
        <f t="shared" si="372"/>
        <v>3.49</v>
      </c>
      <c r="DQ72" s="229">
        <f t="shared" si="373"/>
        <v>3.7906900384641951</v>
      </c>
      <c r="DR72" s="229">
        <f t="shared" si="374"/>
        <v>2.9689444357576988</v>
      </c>
      <c r="DS72" s="229">
        <f t="shared" si="375"/>
        <v>2.7107011104832366</v>
      </c>
      <c r="DT72" s="229">
        <f t="shared" si="376"/>
        <v>2.38</v>
      </c>
      <c r="DU72" s="229">
        <f t="shared" si="377"/>
        <v>3.0735999999999999</v>
      </c>
      <c r="DV72" s="229">
        <f t="shared" si="378"/>
        <v>3.3410831555001521</v>
      </c>
      <c r="DW72" s="229">
        <f t="shared" si="284"/>
        <v>3.0168773425256603</v>
      </c>
      <c r="DX72" s="229">
        <f t="shared" si="285"/>
        <v>0.51244859727065828</v>
      </c>
      <c r="DY72" s="229">
        <f t="shared" si="286"/>
        <v>16.986060057769802</v>
      </c>
      <c r="EA72" s="235">
        <f t="shared" si="379"/>
        <v>0.14000000000000001</v>
      </c>
      <c r="EB72" s="235">
        <f t="shared" si="380"/>
        <v>0.21766089384193893</v>
      </c>
      <c r="EC72" s="235">
        <f t="shared" si="381"/>
        <v>0.14000000000000001</v>
      </c>
      <c r="ED72" s="235">
        <f t="shared" si="382"/>
        <v>0.17150921575097891</v>
      </c>
      <c r="EE72" s="235">
        <f t="shared" si="383"/>
        <v>0.13805330576751815</v>
      </c>
      <c r="EF72" s="235">
        <f t="shared" si="384"/>
        <v>0.1614446830720872</v>
      </c>
      <c r="EG72" s="235">
        <f t="shared" si="385"/>
        <v>3.4381908642824435E-2</v>
      </c>
      <c r="EH72" s="235">
        <f t="shared" si="287"/>
        <v>21.296401955505996</v>
      </c>
      <c r="EJ72" s="229">
        <f t="shared" si="386"/>
        <v>7.5426305676856105</v>
      </c>
      <c r="EK72" s="229">
        <f t="shared" si="387"/>
        <v>17.883495052012062</v>
      </c>
      <c r="EL72" s="229">
        <f t="shared" si="388"/>
        <v>6.91</v>
      </c>
      <c r="EM72" s="229">
        <f t="shared" si="389"/>
        <v>14.4</v>
      </c>
      <c r="EN72" s="229">
        <f t="shared" si="390"/>
        <v>22.858371990778195</v>
      </c>
      <c r="EO72" s="229">
        <f t="shared" si="391"/>
        <v>24.520736249461336</v>
      </c>
      <c r="EP72" s="229">
        <f t="shared" si="392"/>
        <v>21.881787104348781</v>
      </c>
      <c r="EQ72" s="229">
        <f t="shared" si="393"/>
        <v>16.571002994897999</v>
      </c>
      <c r="ER72" s="229">
        <f t="shared" si="394"/>
        <v>7.2135991077268047</v>
      </c>
      <c r="ES72" s="229">
        <f t="shared" si="288"/>
        <v>43.531457389439737</v>
      </c>
      <c r="EU72" s="238">
        <f t="shared" si="395"/>
        <v>1.6334211023902753E-2</v>
      </c>
      <c r="EV72" s="238">
        <f t="shared" si="396"/>
        <v>1.6334211023902753E-2</v>
      </c>
      <c r="EW72" s="238" t="e">
        <f t="shared" si="397"/>
        <v>#DIV/0!</v>
      </c>
      <c r="EX72" s="238" t="e">
        <f t="shared" si="289"/>
        <v>#DIV/0!</v>
      </c>
      <c r="EZ72" s="240">
        <f t="shared" si="398"/>
        <v>2.793150085087371E-2</v>
      </c>
      <c r="FA72" s="240">
        <f t="shared" si="399"/>
        <v>2.793150085087371E-2</v>
      </c>
      <c r="FB72" s="240" t="e">
        <f t="shared" si="400"/>
        <v>#DIV/0!</v>
      </c>
      <c r="FC72" s="240" t="e">
        <f t="shared" si="290"/>
        <v>#DIV/0!</v>
      </c>
      <c r="FE72" s="236">
        <f t="shared" si="401"/>
        <v>0.9</v>
      </c>
      <c r="FF72" s="236">
        <f t="shared" si="402"/>
        <v>1.2</v>
      </c>
      <c r="FG72" s="236">
        <f t="shared" si="403"/>
        <v>1.335501791121688</v>
      </c>
      <c r="FH72" s="236">
        <f t="shared" si="404"/>
        <v>1.3475724094719772</v>
      </c>
      <c r="FI72" s="236">
        <f t="shared" si="405"/>
        <v>0.9</v>
      </c>
      <c r="FJ72" s="236">
        <f t="shared" si="406"/>
        <v>1.1433947716731927</v>
      </c>
      <c r="FK72" s="236">
        <f t="shared" si="291"/>
        <v>1.1377448287111431</v>
      </c>
      <c r="FL72" s="236">
        <f t="shared" si="292"/>
        <v>0.20004412772948318</v>
      </c>
      <c r="FM72" s="236">
        <f t="shared" si="293"/>
        <v>17.582512588178194</v>
      </c>
      <c r="FO72" s="227">
        <f t="shared" si="407"/>
        <v>0.3</v>
      </c>
      <c r="FP72" s="227">
        <f t="shared" si="408"/>
        <v>0.32</v>
      </c>
      <c r="FQ72" s="227">
        <f t="shared" si="409"/>
        <v>0.34937625300626157</v>
      </c>
      <c r="FR72" s="227">
        <f t="shared" si="410"/>
        <v>0.3</v>
      </c>
      <c r="FS72" s="227">
        <f t="shared" si="411"/>
        <v>0.3675197480378119</v>
      </c>
      <c r="FT72" s="227">
        <f t="shared" si="294"/>
        <v>0.32737920020881467</v>
      </c>
      <c r="FU72" s="227">
        <f t="shared" si="295"/>
        <v>3.0202763597294232E-2</v>
      </c>
      <c r="FV72" s="227">
        <f t="shared" si="296"/>
        <v>9.2256208024302655</v>
      </c>
      <c r="FX72" s="230">
        <f t="shared" si="412"/>
        <v>2.94</v>
      </c>
      <c r="FY72" s="230">
        <f t="shared" si="413"/>
        <v>1.7150921575097893</v>
      </c>
      <c r="FZ72" s="230">
        <f t="shared" si="414"/>
        <v>2.94</v>
      </c>
      <c r="GA72" s="230">
        <f t="shared" si="415"/>
        <v>4.0820966601303912</v>
      </c>
      <c r="GB72" s="230">
        <f t="shared" si="297"/>
        <v>2.9192972044100451</v>
      </c>
      <c r="GC72" s="230">
        <f t="shared" si="298"/>
        <v>0.96662119100401434</v>
      </c>
      <c r="GD72" s="230">
        <f t="shared" si="299"/>
        <v>33.11143481875655</v>
      </c>
      <c r="GF72" s="231">
        <f t="shared" si="416"/>
        <v>0.06</v>
      </c>
      <c r="GG72" s="231">
        <f t="shared" si="417"/>
        <v>0.05</v>
      </c>
      <c r="GH72" s="231">
        <f t="shared" si="418"/>
        <v>0.06</v>
      </c>
      <c r="GI72" s="231">
        <f t="shared" si="419"/>
        <v>6.533684409561101E-2</v>
      </c>
      <c r="GJ72" s="245">
        <f t="shared" si="432"/>
        <v>5.8834211023902752E-2</v>
      </c>
      <c r="GK72" s="231">
        <f t="shared" si="433"/>
        <v>6.4043123272187613E-3</v>
      </c>
      <c r="GL72" s="231">
        <f t="shared" si="300"/>
        <v>10.885354313015029</v>
      </c>
      <c r="GN72" s="246">
        <f t="shared" si="420"/>
        <v>0.18</v>
      </c>
      <c r="GO72" s="246">
        <f t="shared" si="421"/>
        <v>0.18</v>
      </c>
      <c r="GP72" s="246">
        <f t="shared" si="422"/>
        <v>0.17150921575097891</v>
      </c>
      <c r="GQ72" s="247">
        <f t="shared" si="434"/>
        <v>0.17716973858365961</v>
      </c>
      <c r="GR72" s="246">
        <f t="shared" si="435"/>
        <v>4.9021565718033568E-3</v>
      </c>
      <c r="GS72" s="246">
        <f t="shared" si="301"/>
        <v>2.7669265705263522</v>
      </c>
      <c r="GU72" s="249">
        <f t="shared" si="423"/>
        <v>2.2377869102746771E-2</v>
      </c>
      <c r="GV72" s="249">
        <f t="shared" si="424"/>
        <v>2.2377869102746771E-2</v>
      </c>
      <c r="GW72" s="249" t="e">
        <f t="shared" si="425"/>
        <v>#DIV/0!</v>
      </c>
      <c r="GX72" s="249" t="e">
        <f t="shared" si="302"/>
        <v>#DIV/0!</v>
      </c>
      <c r="GZ72" s="240">
        <f t="shared" si="426"/>
        <v>2.4501316535854134E-2</v>
      </c>
      <c r="HA72" s="240">
        <f t="shared" si="427"/>
        <v>2.4501316535854134E-2</v>
      </c>
      <c r="HB72" s="240" t="e">
        <f t="shared" si="428"/>
        <v>#DIV/0!</v>
      </c>
      <c r="HC72" s="240" t="e">
        <f t="shared" si="303"/>
        <v>#DIV/0!</v>
      </c>
      <c r="HE72" s="234">
        <f t="shared" si="429"/>
        <v>9.675835559222136E-2</v>
      </c>
      <c r="HF72" s="251">
        <f t="shared" si="430"/>
        <v>9.675835559222136E-2</v>
      </c>
      <c r="HG72" s="234" t="e">
        <f t="shared" si="431"/>
        <v>#DIV/0!</v>
      </c>
      <c r="HH72" s="234" t="e">
        <f t="shared" si="304"/>
        <v>#DIV/0!</v>
      </c>
    </row>
    <row r="73" spans="2:216" ht="15.6" x14ac:dyDescent="0.25">
      <c r="B73">
        <v>69</v>
      </c>
      <c r="C73" s="124">
        <f t="shared" si="305"/>
        <v>81.662591027503368</v>
      </c>
      <c r="D73" s="124">
        <f t="shared" si="306"/>
        <v>169.48538973680525</v>
      </c>
      <c r="E73" s="29">
        <f t="shared" si="254"/>
        <v>2.003933407744138</v>
      </c>
      <c r="F73" s="29">
        <f t="shared" si="255"/>
        <v>1.9279557319200131</v>
      </c>
      <c r="G73" s="29">
        <f t="shared" si="256"/>
        <v>1.978193443754561</v>
      </c>
      <c r="H73" s="29">
        <f t="shared" si="257"/>
        <v>2.003933407744138</v>
      </c>
      <c r="I73" s="29">
        <f t="shared" si="258"/>
        <v>1.9607691282315824</v>
      </c>
      <c r="J73" s="125">
        <f t="shared" si="259"/>
        <v>1.9749570238788867</v>
      </c>
      <c r="K73" s="126">
        <f t="shared" si="307"/>
        <v>3.2016222005908646E-2</v>
      </c>
      <c r="L73" s="126">
        <f t="shared" si="308"/>
        <v>1.6211098073935621</v>
      </c>
      <c r="N73" s="138">
        <f t="shared" si="309"/>
        <v>414.74097501456617</v>
      </c>
      <c r="O73" s="138">
        <f t="shared" si="310"/>
        <v>325.79239999999999</v>
      </c>
      <c r="P73" s="138">
        <f t="shared" si="311"/>
        <v>320.11465064049594</v>
      </c>
      <c r="Q73" s="138">
        <f t="shared" si="312"/>
        <v>430.76244837523683</v>
      </c>
      <c r="R73" s="138">
        <f t="shared" si="313"/>
        <v>414.74097501456617</v>
      </c>
      <c r="S73" s="138">
        <f t="shared" si="314"/>
        <v>328.03229999999996</v>
      </c>
      <c r="T73" s="138">
        <f t="shared" si="315"/>
        <v>372.36395817414422</v>
      </c>
      <c r="U73" s="138">
        <f t="shared" si="316"/>
        <v>52.661566355999319</v>
      </c>
      <c r="V73" s="138">
        <f t="shared" si="317"/>
        <v>14.142498273522749</v>
      </c>
      <c r="X73" s="227">
        <f t="shared" si="318"/>
        <v>0.43988710635000006</v>
      </c>
      <c r="Y73" s="227">
        <f t="shared" si="319"/>
        <v>0.47</v>
      </c>
      <c r="Z73" s="227">
        <f t="shared" si="320"/>
        <v>0.43988710635000006</v>
      </c>
      <c r="AA73" s="227">
        <f t="shared" si="321"/>
        <v>0.44992473756666668</v>
      </c>
      <c r="AB73" s="227">
        <f t="shared" si="322"/>
        <v>1.7385687254906024E-2</v>
      </c>
      <c r="AC73" s="227">
        <f t="shared" si="323"/>
        <v>3.8641323322058803</v>
      </c>
      <c r="AE73" s="228">
        <f t="shared" si="324"/>
        <v>4.405475113195525</v>
      </c>
      <c r="AF73" s="228">
        <f t="shared" si="325"/>
        <v>5.2850000000000001</v>
      </c>
      <c r="AG73" s="228">
        <f t="shared" si="326"/>
        <v>4.405475113195525</v>
      </c>
      <c r="AH73" s="228">
        <f t="shared" si="327"/>
        <v>7.3228006987580869</v>
      </c>
      <c r="AI73" s="228">
        <f t="shared" si="328"/>
        <v>5.2850000000000001</v>
      </c>
      <c r="AJ73" s="228">
        <f t="shared" si="329"/>
        <v>6.2145231771930067</v>
      </c>
      <c r="AK73" s="228">
        <f t="shared" si="330"/>
        <v>5.4401951787893328</v>
      </c>
      <c r="AL73" s="228">
        <f t="shared" si="331"/>
        <v>5.4797813258759254</v>
      </c>
      <c r="AM73" s="228">
        <f t="shared" si="332"/>
        <v>1.026505420262062</v>
      </c>
      <c r="AN73" s="228">
        <f t="shared" si="333"/>
        <v>18.732598241006968</v>
      </c>
      <c r="AP73" s="229">
        <f t="shared" si="192"/>
        <v>1.4248273310310804</v>
      </c>
      <c r="AQ73" s="229">
        <f t="shared" si="193"/>
        <v>1.4</v>
      </c>
      <c r="AR73" s="229">
        <f t="shared" si="194"/>
        <v>1.47</v>
      </c>
      <c r="AS73" s="229">
        <f t="shared" si="195"/>
        <v>1.303003648845636</v>
      </c>
      <c r="AT73" s="229">
        <f t="shared" si="196"/>
        <v>1.4248273310310804</v>
      </c>
      <c r="AU73" s="229">
        <f t="shared" si="197"/>
        <v>1.2712284347264702</v>
      </c>
      <c r="AV73" s="229">
        <f t="shared" si="198"/>
        <v>1.4</v>
      </c>
      <c r="AW73" s="229">
        <f t="shared" si="199"/>
        <v>1.4499999999999282</v>
      </c>
      <c r="AX73" s="229">
        <f t="shared" si="200"/>
        <v>1.3606872549808899</v>
      </c>
      <c r="AY73" s="229">
        <f t="shared" si="334"/>
        <v>1.3893971111794541</v>
      </c>
      <c r="AZ73" s="229">
        <f t="shared" si="335"/>
        <v>6.6291875021917246E-2</v>
      </c>
      <c r="BA73" s="229">
        <f t="shared" si="336"/>
        <v>4.7712690985547184</v>
      </c>
      <c r="BC73" s="230">
        <f t="shared" si="337"/>
        <v>9.65</v>
      </c>
      <c r="BD73" s="230">
        <f t="shared" si="338"/>
        <v>11.73</v>
      </c>
      <c r="BE73" s="230">
        <f t="shared" si="339"/>
        <v>9.65</v>
      </c>
      <c r="BF73" s="230">
        <f t="shared" si="340"/>
        <v>8.7967384615384621</v>
      </c>
      <c r="BG73" s="230">
        <f t="shared" si="341"/>
        <v>9.9566846153846154</v>
      </c>
      <c r="BH73" s="230">
        <f t="shared" si="342"/>
        <v>1.2487638474058185</v>
      </c>
      <c r="BI73" s="230">
        <f t="shared" si="343"/>
        <v>12.541964475567354</v>
      </c>
      <c r="BK73" s="227">
        <f t="shared" si="260"/>
        <v>19.600000000000001</v>
      </c>
      <c r="BL73" s="227">
        <f t="shared" si="261"/>
        <v>31.73</v>
      </c>
      <c r="BM73" s="227">
        <f t="shared" si="262"/>
        <v>40.249179151204089</v>
      </c>
      <c r="BN73" s="227">
        <f t="shared" si="263"/>
        <v>22.993781908004095</v>
      </c>
      <c r="BO73" s="227">
        <f t="shared" si="264"/>
        <v>19.600000000000001</v>
      </c>
      <c r="BP73" s="227">
        <f t="shared" si="265"/>
        <v>24.243429521980872</v>
      </c>
      <c r="BQ73" s="227">
        <f t="shared" si="266"/>
        <v>31.86</v>
      </c>
      <c r="BR73" s="227">
        <f t="shared" si="344"/>
        <v>27.182341511598434</v>
      </c>
      <c r="BS73" s="227">
        <f t="shared" si="345"/>
        <v>7.6862319918329556</v>
      </c>
      <c r="BT73" s="227">
        <f t="shared" si="267"/>
        <v>28.276563255425646</v>
      </c>
      <c r="BV73" s="231">
        <f t="shared" si="346"/>
        <v>0.26</v>
      </c>
      <c r="BW73" s="231">
        <f t="shared" si="347"/>
        <v>0.30834293118728934</v>
      </c>
      <c r="BX73" s="231">
        <f t="shared" si="348"/>
        <v>0.32807749887932641</v>
      </c>
      <c r="BY73" s="231">
        <f t="shared" si="349"/>
        <v>0.26</v>
      </c>
      <c r="BZ73" s="231">
        <f t="shared" si="350"/>
        <v>0.34298296543350432</v>
      </c>
      <c r="CA73" s="231">
        <f t="shared" si="351"/>
        <v>0.30735426809723093</v>
      </c>
      <c r="CB73" s="231">
        <f t="shared" si="352"/>
        <v>0.48</v>
      </c>
      <c r="CC73" s="231">
        <f t="shared" si="353"/>
        <v>0.43475224827824616</v>
      </c>
      <c r="CD73" s="231">
        <f t="shared" si="354"/>
        <v>0.34018873898444962</v>
      </c>
      <c r="CE73" s="231">
        <f t="shared" si="355"/>
        <v>7.8918277357546598E-2</v>
      </c>
      <c r="CF73" s="231">
        <f t="shared" si="268"/>
        <v>23.198380285349195</v>
      </c>
      <c r="CH73" s="232">
        <f t="shared" si="356"/>
        <v>1.4689237653671852</v>
      </c>
      <c r="CI73" s="232">
        <f t="shared" si="357"/>
        <v>1.52</v>
      </c>
      <c r="CJ73" s="232">
        <f t="shared" si="358"/>
        <v>2.1</v>
      </c>
      <c r="CK73" s="232">
        <f t="shared" si="359"/>
        <v>2.0170663864229761</v>
      </c>
      <c r="CL73" s="232">
        <f t="shared" si="360"/>
        <v>1.8377210622558144</v>
      </c>
      <c r="CM73" s="232">
        <f t="shared" si="361"/>
        <v>1.553778556295758</v>
      </c>
      <c r="CN73" s="232">
        <f t="shared" si="362"/>
        <v>1.4718015741484172</v>
      </c>
      <c r="CO73" s="232">
        <f t="shared" si="363"/>
        <v>1.9137264241062699</v>
      </c>
      <c r="CP73" s="232">
        <f t="shared" si="364"/>
        <v>1.52</v>
      </c>
      <c r="CQ73" s="232">
        <f t="shared" si="365"/>
        <v>1.4712935938441993</v>
      </c>
      <c r="CR73" s="232">
        <f t="shared" si="366"/>
        <v>1.6874311362440619</v>
      </c>
      <c r="CS73" s="232">
        <f t="shared" si="367"/>
        <v>0.2511209279249903</v>
      </c>
      <c r="CT73" s="232">
        <f t="shared" si="269"/>
        <v>14.881847474021564</v>
      </c>
      <c r="CV73" s="229">
        <f t="shared" si="270"/>
        <v>0.83</v>
      </c>
      <c r="CW73" s="229">
        <f t="shared" si="271"/>
        <v>1.19</v>
      </c>
      <c r="CX73" s="229">
        <f t="shared" si="272"/>
        <v>0.81072037888846493</v>
      </c>
      <c r="CY73" s="229">
        <f t="shared" si="273"/>
        <v>0.50114978388732101</v>
      </c>
      <c r="CZ73" s="229">
        <f t="shared" si="274"/>
        <v>1.2154947589252629</v>
      </c>
      <c r="DA73" s="229">
        <f t="shared" si="275"/>
        <v>0.83</v>
      </c>
      <c r="DB73" s="229">
        <f t="shared" si="276"/>
        <v>0.55530561898702291</v>
      </c>
      <c r="DC73" s="229">
        <f t="shared" si="277"/>
        <v>0.89</v>
      </c>
      <c r="DD73" s="229">
        <f t="shared" si="278"/>
        <v>0.85283381758600896</v>
      </c>
      <c r="DE73" s="229">
        <f t="shared" si="279"/>
        <v>0.25679516983166079</v>
      </c>
      <c r="DF73" s="229">
        <f t="shared" si="280"/>
        <v>30.110809929950133</v>
      </c>
      <c r="DH73" s="234">
        <f t="shared" si="368"/>
        <v>0.10212</v>
      </c>
      <c r="DI73" s="234">
        <f t="shared" si="369"/>
        <v>0.13800000000000001</v>
      </c>
      <c r="DJ73" s="234">
        <f t="shared" si="370"/>
        <v>0.11063272182212248</v>
      </c>
      <c r="DK73" s="234">
        <f t="shared" si="281"/>
        <v>0.11691757394070749</v>
      </c>
      <c r="DL73" s="234">
        <f t="shared" si="282"/>
        <v>1.8747483154129371E-2</v>
      </c>
      <c r="DM73" s="234">
        <f t="shared" si="283"/>
        <v>16.034786321889296</v>
      </c>
      <c r="DO73" s="229">
        <f t="shared" si="371"/>
        <v>2.38</v>
      </c>
      <c r="DP73" s="229">
        <f t="shared" si="372"/>
        <v>3.49</v>
      </c>
      <c r="DQ73" s="229">
        <f t="shared" si="373"/>
        <v>3.782362363691786</v>
      </c>
      <c r="DR73" s="229">
        <f t="shared" si="374"/>
        <v>2.9624355358183299</v>
      </c>
      <c r="DS73" s="229">
        <f t="shared" si="375"/>
        <v>2.7104741688755984</v>
      </c>
      <c r="DT73" s="229">
        <f t="shared" si="376"/>
        <v>2.38</v>
      </c>
      <c r="DU73" s="229">
        <f t="shared" si="377"/>
        <v>3.1187999999999998</v>
      </c>
      <c r="DV73" s="229">
        <f t="shared" si="378"/>
        <v>3.3173910815551282</v>
      </c>
      <c r="DW73" s="229">
        <f t="shared" si="284"/>
        <v>3.0176828937426055</v>
      </c>
      <c r="DX73" s="229">
        <f t="shared" si="285"/>
        <v>0.50970246569945687</v>
      </c>
      <c r="DY73" s="229">
        <f t="shared" si="286"/>
        <v>16.890524407198772</v>
      </c>
      <c r="EA73" s="235">
        <f t="shared" si="379"/>
        <v>0.14000000000000001</v>
      </c>
      <c r="EB73" s="235">
        <f t="shared" si="380"/>
        <v>0.21764218623838877</v>
      </c>
      <c r="EC73" s="235">
        <f t="shared" si="381"/>
        <v>0.14000000000000001</v>
      </c>
      <c r="ED73" s="235">
        <f t="shared" si="382"/>
        <v>0.17149144115775705</v>
      </c>
      <c r="EE73" s="235">
        <f t="shared" si="383"/>
        <v>0.13749655925022364</v>
      </c>
      <c r="EF73" s="235">
        <f t="shared" si="384"/>
        <v>0.16132603732927392</v>
      </c>
      <c r="EG73" s="235">
        <f t="shared" si="385"/>
        <v>3.4468419694006956E-2</v>
      </c>
      <c r="EH73" s="235">
        <f t="shared" si="287"/>
        <v>21.365689174931703</v>
      </c>
      <c r="EJ73" s="229">
        <f t="shared" si="386"/>
        <v>7.5426305676856105</v>
      </c>
      <c r="EK73" s="229">
        <f t="shared" si="387"/>
        <v>18.02573821455751</v>
      </c>
      <c r="EL73" s="229">
        <f t="shared" si="388"/>
        <v>6.91</v>
      </c>
      <c r="EM73" s="229">
        <f t="shared" si="389"/>
        <v>14.4</v>
      </c>
      <c r="EN73" s="229">
        <f t="shared" si="390"/>
        <v>22.874873737587635</v>
      </c>
      <c r="EO73" s="229">
        <f t="shared" si="391"/>
        <v>24.790514493336953</v>
      </c>
      <c r="EP73" s="229">
        <f t="shared" si="392"/>
        <v>21.875770284548224</v>
      </c>
      <c r="EQ73" s="229">
        <f t="shared" si="393"/>
        <v>16.631361042530848</v>
      </c>
      <c r="ER73" s="229">
        <f t="shared" si="394"/>
        <v>7.2696882792925823</v>
      </c>
      <c r="ES73" s="229">
        <f t="shared" si="288"/>
        <v>43.710723738736959</v>
      </c>
      <c r="EU73" s="238">
        <f t="shared" si="395"/>
        <v>1.6332518205500673E-2</v>
      </c>
      <c r="EV73" s="238">
        <f t="shared" si="396"/>
        <v>1.6332518205500673E-2</v>
      </c>
      <c r="EW73" s="238" t="e">
        <f t="shared" si="397"/>
        <v>#DIV/0!</v>
      </c>
      <c r="EX73" s="238" t="e">
        <f t="shared" si="289"/>
        <v>#DIV/0!</v>
      </c>
      <c r="EZ73" s="240">
        <f t="shared" si="398"/>
        <v>2.7928606131406152E-2</v>
      </c>
      <c r="FA73" s="240">
        <f t="shared" si="399"/>
        <v>2.7928606131406152E-2</v>
      </c>
      <c r="FB73" s="240" t="e">
        <f t="shared" si="400"/>
        <v>#DIV/0!</v>
      </c>
      <c r="FC73" s="240" t="e">
        <f t="shared" si="290"/>
        <v>#DIV/0!</v>
      </c>
      <c r="FE73" s="236">
        <f t="shared" si="401"/>
        <v>0.9</v>
      </c>
      <c r="FF73" s="236">
        <f t="shared" si="402"/>
        <v>1.2</v>
      </c>
      <c r="FG73" s="236">
        <f t="shared" si="403"/>
        <v>1.3338452730224646</v>
      </c>
      <c r="FH73" s="236">
        <f t="shared" si="404"/>
        <v>1.3474327519538056</v>
      </c>
      <c r="FI73" s="236">
        <f t="shared" si="405"/>
        <v>0.9</v>
      </c>
      <c r="FJ73" s="236">
        <f t="shared" si="406"/>
        <v>1.1432762743850471</v>
      </c>
      <c r="FK73" s="236">
        <f t="shared" si="291"/>
        <v>1.1374257165602197</v>
      </c>
      <c r="FL73" s="236">
        <f t="shared" si="292"/>
        <v>0.19968741012830885</v>
      </c>
      <c r="FM73" s="236">
        <f t="shared" si="293"/>
        <v>17.556083638780347</v>
      </c>
      <c r="FO73" s="227">
        <f t="shared" si="407"/>
        <v>0.3</v>
      </c>
      <c r="FP73" s="227">
        <f t="shared" si="408"/>
        <v>0.32</v>
      </c>
      <c r="FQ73" s="227">
        <f t="shared" si="409"/>
        <v>0.34793557264067282</v>
      </c>
      <c r="FR73" s="227">
        <f t="shared" si="410"/>
        <v>0.3</v>
      </c>
      <c r="FS73" s="227">
        <f t="shared" si="411"/>
        <v>0.36748165962376511</v>
      </c>
      <c r="FT73" s="227">
        <f t="shared" si="294"/>
        <v>0.32708344645288762</v>
      </c>
      <c r="FU73" s="227">
        <f t="shared" si="295"/>
        <v>2.9933376651886293E-2</v>
      </c>
      <c r="FV73" s="227">
        <f t="shared" si="296"/>
        <v>9.1516024355570167</v>
      </c>
      <c r="FX73" s="230">
        <f t="shared" si="412"/>
        <v>2.94</v>
      </c>
      <c r="FY73" s="230">
        <f t="shared" si="413"/>
        <v>1.7149144115775707</v>
      </c>
      <c r="FZ73" s="230">
        <f t="shared" si="414"/>
        <v>2.94</v>
      </c>
      <c r="GA73" s="230">
        <f t="shared" si="415"/>
        <v>4.0818278721616066</v>
      </c>
      <c r="GB73" s="230">
        <f t="shared" si="297"/>
        <v>2.9191855709347942</v>
      </c>
      <c r="GC73" s="230">
        <f t="shared" si="298"/>
        <v>0.96658723123785462</v>
      </c>
      <c r="GD73" s="230">
        <f t="shared" si="299"/>
        <v>33.111537713182443</v>
      </c>
      <c r="GF73" s="231">
        <f t="shared" si="416"/>
        <v>0.06</v>
      </c>
      <c r="GG73" s="231">
        <f t="shared" si="417"/>
        <v>0.05</v>
      </c>
      <c r="GH73" s="231">
        <f t="shared" si="418"/>
        <v>0.06</v>
      </c>
      <c r="GI73" s="231">
        <f t="shared" si="419"/>
        <v>6.5330072822002691E-2</v>
      </c>
      <c r="GJ73" s="245">
        <f t="shared" si="432"/>
        <v>5.8832518205500672E-2</v>
      </c>
      <c r="GK73" s="231">
        <f t="shared" si="433"/>
        <v>6.4020210695764452E-3</v>
      </c>
      <c r="GL73" s="231">
        <f t="shared" si="300"/>
        <v>10.881772980062367</v>
      </c>
      <c r="GN73" s="246">
        <f t="shared" si="420"/>
        <v>0.18</v>
      </c>
      <c r="GO73" s="246">
        <f t="shared" si="421"/>
        <v>0.18</v>
      </c>
      <c r="GP73" s="246">
        <f t="shared" si="422"/>
        <v>0.17149144115775705</v>
      </c>
      <c r="GQ73" s="247">
        <f t="shared" si="434"/>
        <v>0.17716381371925236</v>
      </c>
      <c r="GR73" s="246">
        <f t="shared" si="435"/>
        <v>4.9124187379847323E-3</v>
      </c>
      <c r="GS73" s="246">
        <f t="shared" si="301"/>
        <v>2.7728115775207547</v>
      </c>
      <c r="GU73" s="249">
        <f t="shared" si="423"/>
        <v>2.2375549941535924E-2</v>
      </c>
      <c r="GV73" s="249">
        <f t="shared" si="424"/>
        <v>2.2375549941535924E-2</v>
      </c>
      <c r="GW73" s="249" t="e">
        <f t="shared" si="425"/>
        <v>#DIV/0!</v>
      </c>
      <c r="GX73" s="249" t="e">
        <f t="shared" si="302"/>
        <v>#DIV/0!</v>
      </c>
      <c r="GZ73" s="240">
        <f t="shared" si="426"/>
        <v>2.4498777308251011E-2</v>
      </c>
      <c r="HA73" s="240">
        <f t="shared" si="427"/>
        <v>2.4498777308251011E-2</v>
      </c>
      <c r="HB73" s="240" t="e">
        <f t="shared" si="428"/>
        <v>#DIV/0!</v>
      </c>
      <c r="HC73" s="240" t="e">
        <f t="shared" si="303"/>
        <v>#DIV/0!</v>
      </c>
      <c r="HE73" s="234">
        <f t="shared" si="429"/>
        <v>9.6748283322728987E-2</v>
      </c>
      <c r="HF73" s="251">
        <f t="shared" si="430"/>
        <v>9.6748283322728987E-2</v>
      </c>
      <c r="HG73" s="234" t="e">
        <f t="shared" si="431"/>
        <v>#DIV/0!</v>
      </c>
      <c r="HH73" s="234" t="e">
        <f t="shared" si="304"/>
        <v>#DIV/0!</v>
      </c>
    </row>
    <row r="74" spans="2:216" ht="15.6" x14ac:dyDescent="0.25">
      <c r="B74">
        <v>70</v>
      </c>
      <c r="C74" s="124">
        <f t="shared" si="305"/>
        <v>81.551358337281272</v>
      </c>
      <c r="D74" s="124">
        <f t="shared" si="306"/>
        <v>168.75933862195143</v>
      </c>
      <c r="E74" s="29">
        <f t="shared" si="254"/>
        <v>1.9989061242627844</v>
      </c>
      <c r="F74" s="29">
        <f t="shared" si="255"/>
        <v>1.9208513136008123</v>
      </c>
      <c r="G74" s="29">
        <f t="shared" si="256"/>
        <v>1.9732272397933008</v>
      </c>
      <c r="H74" s="29">
        <f t="shared" si="257"/>
        <v>1.9989061242627844</v>
      </c>
      <c r="I74" s="29">
        <f t="shared" si="258"/>
        <v>1.9552318203505912</v>
      </c>
      <c r="J74" s="125">
        <f t="shared" si="259"/>
        <v>1.9694245244540547</v>
      </c>
      <c r="K74" s="126">
        <f t="shared" si="307"/>
        <v>3.2838924163549922E-2</v>
      </c>
      <c r="L74" s="126">
        <f t="shared" si="308"/>
        <v>1.6674375562908774</v>
      </c>
      <c r="N74" s="138">
        <f t="shared" si="309"/>
        <v>413.57915013535148</v>
      </c>
      <c r="O74" s="138">
        <f t="shared" si="310"/>
        <v>325.79239999999999</v>
      </c>
      <c r="P74" s="138">
        <f t="shared" si="311"/>
        <v>317.32742201807639</v>
      </c>
      <c r="Q74" s="138">
        <f t="shared" si="312"/>
        <v>430.31592370259972</v>
      </c>
      <c r="R74" s="138">
        <f t="shared" si="313"/>
        <v>413.57915013535148</v>
      </c>
      <c r="S74" s="138">
        <f t="shared" si="314"/>
        <v>324.21000000000004</v>
      </c>
      <c r="T74" s="138">
        <f t="shared" si="315"/>
        <v>370.80067433189652</v>
      </c>
      <c r="U74" s="138">
        <f t="shared" si="316"/>
        <v>53.400159733551277</v>
      </c>
      <c r="V74" s="138">
        <f t="shared" si="317"/>
        <v>14.401311386438802</v>
      </c>
      <c r="X74" s="227">
        <f t="shared" si="318"/>
        <v>0.44042945000000006</v>
      </c>
      <c r="Y74" s="227">
        <f t="shared" si="319"/>
        <v>0.47</v>
      </c>
      <c r="Z74" s="227">
        <f t="shared" si="320"/>
        <v>0.44042945000000006</v>
      </c>
      <c r="AA74" s="227">
        <f t="shared" si="321"/>
        <v>0.45028630000000008</v>
      </c>
      <c r="AB74" s="227">
        <f t="shared" si="322"/>
        <v>1.7072565002585242E-2</v>
      </c>
      <c r="AC74" s="227">
        <f t="shared" si="323"/>
        <v>3.7914911030127363</v>
      </c>
      <c r="AE74" s="228">
        <f t="shared" si="324"/>
        <v>4.390568858033844</v>
      </c>
      <c r="AF74" s="228">
        <f t="shared" si="325"/>
        <v>5.2850000000000001</v>
      </c>
      <c r="AG74" s="228">
        <f t="shared" si="326"/>
        <v>4.390568858033844</v>
      </c>
      <c r="AH74" s="228">
        <f t="shared" si="327"/>
        <v>7.3128294791460968</v>
      </c>
      <c r="AI74" s="228">
        <f t="shared" si="328"/>
        <v>5.2850000000000001</v>
      </c>
      <c r="AJ74" s="228">
        <f t="shared" si="329"/>
        <v>6.2060583694671045</v>
      </c>
      <c r="AK74" s="228">
        <f t="shared" si="330"/>
        <v>5.4228147796528319</v>
      </c>
      <c r="AL74" s="228">
        <f t="shared" si="331"/>
        <v>5.4704057634762453</v>
      </c>
      <c r="AM74" s="228">
        <f t="shared" si="332"/>
        <v>1.0278473367088126</v>
      </c>
      <c r="AN74" s="228">
        <f t="shared" si="333"/>
        <v>18.789233946252146</v>
      </c>
      <c r="AP74" s="229">
        <f t="shared" si="192"/>
        <v>1.4251114714227808</v>
      </c>
      <c r="AQ74" s="229">
        <f t="shared" si="193"/>
        <v>1.4</v>
      </c>
      <c r="AR74" s="229">
        <f t="shared" si="194"/>
        <v>1.47</v>
      </c>
      <c r="AS74" s="229">
        <f t="shared" si="195"/>
        <v>1.2955149077566941</v>
      </c>
      <c r="AT74" s="229">
        <f t="shared" si="196"/>
        <v>1.4251114714227808</v>
      </c>
      <c r="AU74" s="229">
        <f t="shared" si="197"/>
        <v>1.29085785628771</v>
      </c>
      <c r="AV74" s="229">
        <f t="shared" si="198"/>
        <v>1.4</v>
      </c>
      <c r="AW74" s="229">
        <f t="shared" si="199"/>
        <v>1.4499999999999538</v>
      </c>
      <c r="AX74" s="229">
        <f t="shared" si="200"/>
        <v>1.3585257188909634</v>
      </c>
      <c r="AY74" s="229">
        <f t="shared" si="334"/>
        <v>1.3905690473089869</v>
      </c>
      <c r="AZ74" s="229">
        <f t="shared" si="335"/>
        <v>6.3649375689010301E-2</v>
      </c>
      <c r="BA74" s="229">
        <f t="shared" si="336"/>
        <v>4.5772179247182176</v>
      </c>
      <c r="BC74" s="230">
        <f t="shared" si="337"/>
        <v>9.65</v>
      </c>
      <c r="BD74" s="230">
        <f t="shared" si="338"/>
        <v>11.73</v>
      </c>
      <c r="BE74" s="230">
        <f t="shared" si="339"/>
        <v>9.65</v>
      </c>
      <c r="BF74" s="230">
        <f t="shared" si="340"/>
        <v>8.7908923076923067</v>
      </c>
      <c r="BG74" s="230">
        <f t="shared" si="341"/>
        <v>9.9552230769230761</v>
      </c>
      <c r="BH74" s="230">
        <f t="shared" si="342"/>
        <v>1.2505760699555912</v>
      </c>
      <c r="BI74" s="230">
        <f t="shared" si="343"/>
        <v>12.562009512921076</v>
      </c>
      <c r="BK74" s="227">
        <f t="shared" si="260"/>
        <v>19.600000000000001</v>
      </c>
      <c r="BL74" s="227">
        <f t="shared" si="261"/>
        <v>31.73</v>
      </c>
      <c r="BM74" s="227">
        <f t="shared" si="262"/>
        <v>40.128419133833013</v>
      </c>
      <c r="BN74" s="227">
        <f t="shared" si="263"/>
        <v>22.983960287776522</v>
      </c>
      <c r="BO74" s="227">
        <f t="shared" si="264"/>
        <v>19.600000000000001</v>
      </c>
      <c r="BP74" s="227">
        <f t="shared" si="265"/>
        <v>23.839895949092565</v>
      </c>
      <c r="BQ74" s="227">
        <f t="shared" si="266"/>
        <v>31.86</v>
      </c>
      <c r="BR74" s="227">
        <f t="shared" si="344"/>
        <v>27.106039338671735</v>
      </c>
      <c r="BS74" s="227">
        <f t="shared" si="345"/>
        <v>7.68010428691007</v>
      </c>
      <c r="BT74" s="227">
        <f t="shared" si="267"/>
        <v>28.333553976485941</v>
      </c>
      <c r="BV74" s="231">
        <f t="shared" si="346"/>
        <v>0.26</v>
      </c>
      <c r="BW74" s="231">
        <f t="shared" si="347"/>
        <v>0.30745730553882178</v>
      </c>
      <c r="BX74" s="231">
        <f t="shared" si="348"/>
        <v>0.32774446526425194</v>
      </c>
      <c r="BY74" s="231">
        <f t="shared" si="349"/>
        <v>0.26</v>
      </c>
      <c r="BZ74" s="231">
        <f t="shared" si="350"/>
        <v>0.34251577176283277</v>
      </c>
      <c r="CA74" s="231">
        <f t="shared" si="351"/>
        <v>0.30587244116433193</v>
      </c>
      <c r="CB74" s="231">
        <f t="shared" si="352"/>
        <v>0.48</v>
      </c>
      <c r="CC74" s="231">
        <f t="shared" si="353"/>
        <v>0.43174965584318287</v>
      </c>
      <c r="CD74" s="231">
        <f t="shared" si="354"/>
        <v>0.33941745494667769</v>
      </c>
      <c r="CE74" s="231">
        <f t="shared" si="355"/>
        <v>7.8554375118245631E-2</v>
      </c>
      <c r="CF74" s="231">
        <f t="shared" si="268"/>
        <v>23.143881958158719</v>
      </c>
      <c r="CH74" s="232">
        <f t="shared" si="356"/>
        <v>1.4640113822448744</v>
      </c>
      <c r="CI74" s="232">
        <f t="shared" si="357"/>
        <v>1.52</v>
      </c>
      <c r="CJ74" s="232">
        <f t="shared" si="358"/>
        <v>2.1</v>
      </c>
      <c r="CK74" s="232">
        <f t="shared" si="359"/>
        <v>2.0143188625415891</v>
      </c>
      <c r="CL74" s="232">
        <f t="shared" si="360"/>
        <v>1.8303051453819588</v>
      </c>
      <c r="CM74" s="232">
        <f t="shared" si="361"/>
        <v>1.5521275143236721</v>
      </c>
      <c r="CN74" s="232">
        <f t="shared" si="362"/>
        <v>1.4668795670417858</v>
      </c>
      <c r="CO74" s="232">
        <f t="shared" si="363"/>
        <v>1.9112639597548733</v>
      </c>
      <c r="CP74" s="232">
        <f t="shared" si="364"/>
        <v>1.52</v>
      </c>
      <c r="CQ74" s="232">
        <f t="shared" si="365"/>
        <v>1.4663616321065154</v>
      </c>
      <c r="CR74" s="232">
        <f t="shared" si="366"/>
        <v>1.6845268063395267</v>
      </c>
      <c r="CS74" s="232">
        <f t="shared" si="367"/>
        <v>0.25150722646517704</v>
      </c>
      <c r="CT74" s="232">
        <f t="shared" si="269"/>
        <v>14.930437765588412</v>
      </c>
      <c r="CV74" s="229">
        <f t="shared" si="270"/>
        <v>0.83</v>
      </c>
      <c r="CW74" s="229">
        <f t="shared" si="271"/>
        <v>1.19</v>
      </c>
      <c r="CX74" s="229">
        <f t="shared" si="272"/>
        <v>0.8114690734671125</v>
      </c>
      <c r="CY74" s="229">
        <f t="shared" si="273"/>
        <v>0.49802414454805172</v>
      </c>
      <c r="CZ74" s="229">
        <f t="shared" si="274"/>
        <v>1.2142518709505994</v>
      </c>
      <c r="DA74" s="229">
        <f t="shared" si="275"/>
        <v>0.83</v>
      </c>
      <c r="DB74" s="229">
        <f t="shared" si="276"/>
        <v>0.55454923669351264</v>
      </c>
      <c r="DC74" s="229">
        <f t="shared" si="277"/>
        <v>0.89</v>
      </c>
      <c r="DD74" s="229">
        <f t="shared" si="278"/>
        <v>0.85228679070740954</v>
      </c>
      <c r="DE74" s="229">
        <f t="shared" si="279"/>
        <v>0.25726594879232217</v>
      </c>
      <c r="DF74" s="229">
        <f t="shared" si="280"/>
        <v>30.18537323320334</v>
      </c>
      <c r="DH74" s="234">
        <f t="shared" si="368"/>
        <v>0.1036</v>
      </c>
      <c r="DI74" s="234">
        <f t="shared" si="369"/>
        <v>0.14000000000000001</v>
      </c>
      <c r="DJ74" s="234">
        <f t="shared" si="370"/>
        <v>0.11007998649915597</v>
      </c>
      <c r="DK74" s="234">
        <f t="shared" si="281"/>
        <v>0.11789332883305199</v>
      </c>
      <c r="DL74" s="234">
        <f t="shared" si="282"/>
        <v>1.9417163511182244E-2</v>
      </c>
      <c r="DM74" s="234">
        <f t="shared" si="283"/>
        <v>16.470112179696585</v>
      </c>
      <c r="DO74" s="229">
        <f t="shared" si="371"/>
        <v>2.38</v>
      </c>
      <c r="DP74" s="229">
        <f t="shared" si="372"/>
        <v>3.49</v>
      </c>
      <c r="DQ74" s="229">
        <f t="shared" si="373"/>
        <v>3.7717447618008864</v>
      </c>
      <c r="DR74" s="229">
        <f t="shared" si="374"/>
        <v>2.9541367866810821</v>
      </c>
      <c r="DS74" s="229">
        <f t="shared" si="375"/>
        <v>2.7074930056715369</v>
      </c>
      <c r="DT74" s="229">
        <f t="shared" si="376"/>
        <v>2.38</v>
      </c>
      <c r="DU74" s="229">
        <f t="shared" si="377"/>
        <v>3.1639999999999997</v>
      </c>
      <c r="DV74" s="229">
        <f t="shared" si="378"/>
        <v>3.2874275398329784</v>
      </c>
      <c r="DW74" s="229">
        <f t="shared" si="284"/>
        <v>3.0168502617483104</v>
      </c>
      <c r="DX74" s="229">
        <f t="shared" si="285"/>
        <v>0.50700702918777041</v>
      </c>
      <c r="DY74" s="229">
        <f t="shared" si="286"/>
        <v>16.805840038409865</v>
      </c>
      <c r="EA74" s="235">
        <f t="shared" si="379"/>
        <v>0.14000000000000001</v>
      </c>
      <c r="EB74" s="235">
        <f t="shared" si="380"/>
        <v>0.21739626207244561</v>
      </c>
      <c r="EC74" s="235">
        <f t="shared" si="381"/>
        <v>0.14000000000000001</v>
      </c>
      <c r="ED74" s="235">
        <f t="shared" si="382"/>
        <v>0.17125785250829065</v>
      </c>
      <c r="EE74" s="235">
        <f t="shared" si="383"/>
        <v>0.13686634134284695</v>
      </c>
      <c r="EF74" s="235">
        <f t="shared" si="384"/>
        <v>0.16110409118471664</v>
      </c>
      <c r="EG74" s="235">
        <f t="shared" si="385"/>
        <v>3.4460634132050277E-2</v>
      </c>
      <c r="EH74" s="235">
        <f t="shared" si="287"/>
        <v>21.390291133289004</v>
      </c>
      <c r="EJ74" s="229">
        <f t="shared" si="386"/>
        <v>7.5426305676856105</v>
      </c>
      <c r="EK74" s="229">
        <f t="shared" si="387"/>
        <v>18.13623572537481</v>
      </c>
      <c r="EL74" s="229">
        <f t="shared" si="388"/>
        <v>6.91</v>
      </c>
      <c r="EM74" s="229">
        <f t="shared" si="389"/>
        <v>14.4</v>
      </c>
      <c r="EN74" s="229">
        <f t="shared" si="390"/>
        <v>22.874127148997992</v>
      </c>
      <c r="EO74" s="229">
        <f t="shared" si="391"/>
        <v>25.008736067684321</v>
      </c>
      <c r="EP74" s="229">
        <f t="shared" si="392"/>
        <v>21.796750546625567</v>
      </c>
      <c r="EQ74" s="229">
        <f t="shared" si="393"/>
        <v>16.66692572233833</v>
      </c>
      <c r="ER74" s="229">
        <f t="shared" si="394"/>
        <v>7.30500328374087</v>
      </c>
      <c r="ES74" s="229">
        <f t="shared" si="288"/>
        <v>43.829338448122606</v>
      </c>
      <c r="EU74" s="238">
        <f t="shared" si="395"/>
        <v>1.6310271667456255E-2</v>
      </c>
      <c r="EV74" s="238">
        <f t="shared" si="396"/>
        <v>1.6310271667456255E-2</v>
      </c>
      <c r="EW74" s="238" t="e">
        <f t="shared" si="397"/>
        <v>#DIV/0!</v>
      </c>
      <c r="EX74" s="238" t="e">
        <f t="shared" si="289"/>
        <v>#DIV/0!</v>
      </c>
      <c r="EZ74" s="240">
        <f t="shared" si="398"/>
        <v>2.7890564551350198E-2</v>
      </c>
      <c r="FA74" s="240">
        <f t="shared" si="399"/>
        <v>2.7890564551350198E-2</v>
      </c>
      <c r="FB74" s="240" t="e">
        <f t="shared" si="400"/>
        <v>#DIV/0!</v>
      </c>
      <c r="FC74" s="240" t="e">
        <f t="shared" si="290"/>
        <v>#DIV/0!</v>
      </c>
      <c r="FE74" s="236">
        <f t="shared" si="401"/>
        <v>0.9</v>
      </c>
      <c r="FF74" s="236">
        <f t="shared" si="402"/>
        <v>1.2</v>
      </c>
      <c r="FG74" s="236">
        <f t="shared" si="403"/>
        <v>1.3306380518725174</v>
      </c>
      <c r="FH74" s="236">
        <f t="shared" si="404"/>
        <v>1.3455974125651411</v>
      </c>
      <c r="FI74" s="236">
        <f t="shared" si="405"/>
        <v>0.9</v>
      </c>
      <c r="FJ74" s="236">
        <f t="shared" si="406"/>
        <v>1.1417190167219378</v>
      </c>
      <c r="FK74" s="236">
        <f t="shared" si="291"/>
        <v>1.1363257468599328</v>
      </c>
      <c r="FL74" s="236">
        <f t="shared" si="292"/>
        <v>0.19866309021904219</v>
      </c>
      <c r="FM74" s="236">
        <f t="shared" si="293"/>
        <v>17.482934868634111</v>
      </c>
      <c r="FO74" s="227">
        <f t="shared" si="407"/>
        <v>0.3</v>
      </c>
      <c r="FP74" s="227">
        <f t="shared" si="408"/>
        <v>0.32</v>
      </c>
      <c r="FQ74" s="227">
        <f t="shared" si="409"/>
        <v>0.34627183803908168</v>
      </c>
      <c r="FR74" s="227">
        <f t="shared" si="410"/>
        <v>0.3</v>
      </c>
      <c r="FS74" s="227">
        <f t="shared" si="411"/>
        <v>0.36698111251776572</v>
      </c>
      <c r="FT74" s="227">
        <f t="shared" si="294"/>
        <v>0.32665059011136949</v>
      </c>
      <c r="FU74" s="227">
        <f t="shared" si="295"/>
        <v>2.9480004508189425E-2</v>
      </c>
      <c r="FV74" s="227">
        <f t="shared" si="296"/>
        <v>9.0249353286453271</v>
      </c>
      <c r="FX74" s="230">
        <f t="shared" si="412"/>
        <v>2.94</v>
      </c>
      <c r="FY74" s="230">
        <f t="shared" si="413"/>
        <v>1.7125785250829069</v>
      </c>
      <c r="FZ74" s="230">
        <f t="shared" si="414"/>
        <v>2.94</v>
      </c>
      <c r="GA74" s="230">
        <f t="shared" si="415"/>
        <v>4.0764057431950365</v>
      </c>
      <c r="GB74" s="230">
        <f t="shared" si="297"/>
        <v>2.9172460670694855</v>
      </c>
      <c r="GC74" s="230">
        <f t="shared" si="298"/>
        <v>0.9653860237229972</v>
      </c>
      <c r="GD74" s="230">
        <f t="shared" si="299"/>
        <v>33.092375532543748</v>
      </c>
      <c r="GF74" s="231">
        <f t="shared" si="416"/>
        <v>0.06</v>
      </c>
      <c r="GG74" s="231">
        <f t="shared" si="417"/>
        <v>0.05</v>
      </c>
      <c r="GH74" s="231">
        <f t="shared" si="418"/>
        <v>0.06</v>
      </c>
      <c r="GI74" s="231">
        <f t="shared" si="419"/>
        <v>6.5241086669825019E-2</v>
      </c>
      <c r="GJ74" s="245">
        <f t="shared" si="432"/>
        <v>5.8810271667456254E-2</v>
      </c>
      <c r="GK74" s="231">
        <f t="shared" si="433"/>
        <v>6.3720006136112955E-3</v>
      </c>
      <c r="GL74" s="231">
        <f t="shared" si="300"/>
        <v>10.834843017971227</v>
      </c>
      <c r="GN74" s="246">
        <f t="shared" si="420"/>
        <v>0.18</v>
      </c>
      <c r="GO74" s="246">
        <f t="shared" si="421"/>
        <v>0.18</v>
      </c>
      <c r="GP74" s="246">
        <f t="shared" si="422"/>
        <v>0.17125785250829065</v>
      </c>
      <c r="GQ74" s="247">
        <f t="shared" si="434"/>
        <v>0.17708595083609688</v>
      </c>
      <c r="GR74" s="246">
        <f t="shared" si="435"/>
        <v>5.0472812076338023E-3</v>
      </c>
      <c r="GS74" s="246">
        <f t="shared" si="301"/>
        <v>2.8501872586749402</v>
      </c>
      <c r="GU74" s="249">
        <f t="shared" si="423"/>
        <v>2.2345072184415067E-2</v>
      </c>
      <c r="GV74" s="249">
        <f t="shared" si="424"/>
        <v>2.2345072184415067E-2</v>
      </c>
      <c r="GW74" s="249" t="e">
        <f t="shared" si="425"/>
        <v>#DIV/0!</v>
      </c>
      <c r="GX74" s="249" t="e">
        <f t="shared" si="302"/>
        <v>#DIV/0!</v>
      </c>
      <c r="GZ74" s="240">
        <f t="shared" si="426"/>
        <v>2.4465407501184384E-2</v>
      </c>
      <c r="HA74" s="240">
        <f t="shared" si="427"/>
        <v>2.4465407501184384E-2</v>
      </c>
      <c r="HB74" s="240" t="e">
        <f t="shared" si="428"/>
        <v>#DIV/0!</v>
      </c>
      <c r="HC74" s="240" t="e">
        <f t="shared" si="303"/>
        <v>#DIV/0!</v>
      </c>
      <c r="HE74" s="234">
        <f t="shared" si="429"/>
        <v>9.6615916421364703E-2</v>
      </c>
      <c r="HF74" s="251">
        <f t="shared" si="430"/>
        <v>9.6615916421364703E-2</v>
      </c>
      <c r="HG74" s="234" t="e">
        <f t="shared" si="431"/>
        <v>#DIV/0!</v>
      </c>
      <c r="HH74" s="234" t="e">
        <f t="shared" si="304"/>
        <v>#DIV/0!</v>
      </c>
    </row>
    <row r="75" spans="2:216" ht="15.6" x14ac:dyDescent="0.25">
      <c r="B75">
        <v>71</v>
      </c>
      <c r="C75" s="124">
        <f t="shared" si="305"/>
        <v>81.304167103138752</v>
      </c>
      <c r="D75" s="124">
        <f t="shared" si="306"/>
        <v>168.07315412270236</v>
      </c>
      <c r="E75" s="29">
        <f t="shared" si="254"/>
        <v>1.9923409374045877</v>
      </c>
      <c r="F75" s="29">
        <f t="shared" si="255"/>
        <v>1.9127163480292109</v>
      </c>
      <c r="G75" s="29">
        <f t="shared" si="256"/>
        <v>1.9667602184540289</v>
      </c>
      <c r="H75" s="29">
        <f t="shared" si="257"/>
        <v>1.9923409374045877</v>
      </c>
      <c r="I75" s="29">
        <f t="shared" si="258"/>
        <v>1.9482932565270634</v>
      </c>
      <c r="J75" s="125">
        <f t="shared" si="259"/>
        <v>1.962490339563896</v>
      </c>
      <c r="K75" s="126">
        <f t="shared" si="307"/>
        <v>3.3463994265028531E-2</v>
      </c>
      <c r="L75" s="126">
        <f t="shared" si="308"/>
        <v>1.7051800760693114</v>
      </c>
      <c r="N75" s="138">
        <f t="shared" si="309"/>
        <v>412.12297130841807</v>
      </c>
      <c r="O75" s="138">
        <f t="shared" si="310"/>
        <v>325.79239999999999</v>
      </c>
      <c r="P75" s="138">
        <f t="shared" si="311"/>
        <v>314.23927154231944</v>
      </c>
      <c r="Q75" s="138">
        <f t="shared" si="312"/>
        <v>429.32309479935225</v>
      </c>
      <c r="R75" s="138">
        <f t="shared" si="313"/>
        <v>412.12297130841807</v>
      </c>
      <c r="S75" s="138">
        <f t="shared" si="314"/>
        <v>320.28030000000001</v>
      </c>
      <c r="T75" s="138">
        <f t="shared" si="315"/>
        <v>368.98016815975137</v>
      </c>
      <c r="U75" s="138">
        <f t="shared" si="316"/>
        <v>54.032023768056575</v>
      </c>
      <c r="V75" s="138">
        <f t="shared" si="317"/>
        <v>14.643611887743301</v>
      </c>
      <c r="X75" s="227">
        <f t="shared" si="318"/>
        <v>0.44110089265000002</v>
      </c>
      <c r="Y75" s="227">
        <f t="shared" si="319"/>
        <v>0.47</v>
      </c>
      <c r="Z75" s="227">
        <f t="shared" si="320"/>
        <v>0.44110089265000002</v>
      </c>
      <c r="AA75" s="227">
        <f t="shared" si="321"/>
        <v>0.45073392843333332</v>
      </c>
      <c r="AB75" s="227">
        <f t="shared" si="322"/>
        <v>1.6684907407862364E-2</v>
      </c>
      <c r="AC75" s="227">
        <f t="shared" si="323"/>
        <v>3.7017198740409838</v>
      </c>
      <c r="AE75" s="228">
        <f t="shared" si="324"/>
        <v>4.371898341151474</v>
      </c>
      <c r="AF75" s="228">
        <f t="shared" si="325"/>
        <v>5.2850000000000001</v>
      </c>
      <c r="AG75" s="228">
        <f t="shared" si="326"/>
        <v>4.371898341151474</v>
      </c>
      <c r="AH75" s="228">
        <f t="shared" si="327"/>
        <v>7.2906705119882105</v>
      </c>
      <c r="AI75" s="228">
        <f t="shared" si="328"/>
        <v>5.2850000000000001</v>
      </c>
      <c r="AJ75" s="228">
        <f t="shared" si="329"/>
        <v>6.1872471165488587</v>
      </c>
      <c r="AK75" s="228">
        <f t="shared" si="330"/>
        <v>5.401030972403559</v>
      </c>
      <c r="AL75" s="228">
        <f t="shared" si="331"/>
        <v>5.4561064690347978</v>
      </c>
      <c r="AM75" s="228">
        <f t="shared" si="332"/>
        <v>1.0257350665987142</v>
      </c>
      <c r="AN75" s="228">
        <f t="shared" si="333"/>
        <v>18.799762658960169</v>
      </c>
      <c r="AP75" s="229">
        <f t="shared" si="192"/>
        <v>1.4253877518388232</v>
      </c>
      <c r="AQ75" s="229">
        <f t="shared" si="193"/>
        <v>1.4</v>
      </c>
      <c r="AR75" s="229">
        <f t="shared" si="194"/>
        <v>1.47</v>
      </c>
      <c r="AS75" s="229">
        <f t="shared" si="195"/>
        <v>1.2888151843667544</v>
      </c>
      <c r="AT75" s="229">
        <f t="shared" si="196"/>
        <v>1.4253877518388232</v>
      </c>
      <c r="AU75" s="229">
        <f t="shared" si="197"/>
        <v>1.3120403693975615</v>
      </c>
      <c r="AV75" s="229">
        <f t="shared" si="198"/>
        <v>1.4</v>
      </c>
      <c r="AW75" s="229">
        <f t="shared" si="199"/>
        <v>1.4499999999999702</v>
      </c>
      <c r="AX75" s="229">
        <f t="shared" si="200"/>
        <v>1.3563676165351668</v>
      </c>
      <c r="AY75" s="229">
        <f t="shared" si="334"/>
        <v>1.3919998526641222</v>
      </c>
      <c r="AZ75" s="229">
        <f t="shared" si="335"/>
        <v>6.1355317006997312E-2</v>
      </c>
      <c r="BA75" s="229">
        <f t="shared" si="336"/>
        <v>4.4077100216333021</v>
      </c>
      <c r="BC75" s="230">
        <f t="shared" si="337"/>
        <v>9.65</v>
      </c>
      <c r="BD75" s="230">
        <f t="shared" si="338"/>
        <v>11.73</v>
      </c>
      <c r="BE75" s="230">
        <f t="shared" si="339"/>
        <v>9.65</v>
      </c>
      <c r="BF75" s="230">
        <f t="shared" si="340"/>
        <v>8.7850461538461531</v>
      </c>
      <c r="BG75" s="230">
        <f t="shared" si="341"/>
        <v>9.9537615384615385</v>
      </c>
      <c r="BH75" s="230">
        <f t="shared" si="342"/>
        <v>1.252392492655851</v>
      </c>
      <c r="BI75" s="230">
        <f t="shared" si="343"/>
        <v>12.582102633427381</v>
      </c>
      <c r="BK75" s="227">
        <f t="shared" si="260"/>
        <v>19.600000000000001</v>
      </c>
      <c r="BL75" s="227">
        <f t="shared" si="261"/>
        <v>31.73</v>
      </c>
      <c r="BM75" s="227">
        <f t="shared" si="262"/>
        <v>39.977145000593353</v>
      </c>
      <c r="BN75" s="227">
        <f t="shared" si="263"/>
        <v>22.96203151566591</v>
      </c>
      <c r="BO75" s="227">
        <f t="shared" si="264"/>
        <v>19.600000000000001</v>
      </c>
      <c r="BP75" s="227">
        <f t="shared" si="265"/>
        <v>23.39006549737865</v>
      </c>
      <c r="BQ75" s="227">
        <f t="shared" si="266"/>
        <v>31.86</v>
      </c>
      <c r="BR75" s="227">
        <f t="shared" si="344"/>
        <v>27.017034573376844</v>
      </c>
      <c r="BS75" s="227">
        <f t="shared" si="345"/>
        <v>7.6730434826875697</v>
      </c>
      <c r="BT75" s="227">
        <f t="shared" si="267"/>
        <v>28.400761237685014</v>
      </c>
      <c r="BV75" s="231">
        <f t="shared" si="346"/>
        <v>0.26</v>
      </c>
      <c r="BW75" s="231">
        <f t="shared" si="347"/>
        <v>0.30609568902808881</v>
      </c>
      <c r="BX75" s="231">
        <f t="shared" si="348"/>
        <v>0.32700565503722018</v>
      </c>
      <c r="BY75" s="231">
        <f t="shared" si="349"/>
        <v>0.26</v>
      </c>
      <c r="BZ75" s="231">
        <f t="shared" si="350"/>
        <v>0.34147755534285473</v>
      </c>
      <c r="CA75" s="231">
        <f t="shared" si="351"/>
        <v>0.30422560897483247</v>
      </c>
      <c r="CB75" s="231">
        <f t="shared" si="352"/>
        <v>0.48</v>
      </c>
      <c r="CC75" s="231">
        <f t="shared" si="353"/>
        <v>0.42889634641784946</v>
      </c>
      <c r="CD75" s="231">
        <f t="shared" si="354"/>
        <v>0.33846260685010571</v>
      </c>
      <c r="CE75" s="231">
        <f t="shared" si="355"/>
        <v>7.8270590455134778E-2</v>
      </c>
      <c r="CF75" s="231">
        <f t="shared" si="268"/>
        <v>23.125328727908286</v>
      </c>
      <c r="CH75" s="232">
        <f t="shared" si="356"/>
        <v>1.4578544231192201</v>
      </c>
      <c r="CI75" s="232">
        <f t="shared" si="357"/>
        <v>1.52</v>
      </c>
      <c r="CJ75" s="232">
        <f t="shared" si="358"/>
        <v>2.1</v>
      </c>
      <c r="CK75" s="232">
        <f t="shared" si="359"/>
        <v>2.0082131772621343</v>
      </c>
      <c r="CL75" s="232">
        <f t="shared" si="360"/>
        <v>1.8192918877986584</v>
      </c>
      <c r="CM75" s="232">
        <f t="shared" si="361"/>
        <v>1.5484566458421909</v>
      </c>
      <c r="CN75" s="232">
        <f t="shared" si="362"/>
        <v>1.4607105456488747</v>
      </c>
      <c r="CO75" s="232">
        <f t="shared" si="363"/>
        <v>1.9057859143827354</v>
      </c>
      <c r="CP75" s="232">
        <f t="shared" si="364"/>
        <v>1.52</v>
      </c>
      <c r="CQ75" s="232">
        <f t="shared" si="365"/>
        <v>1.4604962984302903</v>
      </c>
      <c r="CR75" s="232">
        <f t="shared" si="366"/>
        <v>1.6800808892484103</v>
      </c>
      <c r="CS75" s="232">
        <f t="shared" si="367"/>
        <v>0.25135795294563262</v>
      </c>
      <c r="CT75" s="232">
        <f t="shared" si="269"/>
        <v>14.961062562772106</v>
      </c>
      <c r="CV75" s="229">
        <f t="shared" si="270"/>
        <v>0.83</v>
      </c>
      <c r="CW75" s="229">
        <f t="shared" si="271"/>
        <v>1.19</v>
      </c>
      <c r="CX75" s="229">
        <f t="shared" si="272"/>
        <v>0.81068081622155364</v>
      </c>
      <c r="CY75" s="229">
        <f t="shared" si="273"/>
        <v>0.49504983848268791</v>
      </c>
      <c r="CZ75" s="229">
        <f t="shared" si="274"/>
        <v>1.2114857828491334</v>
      </c>
      <c r="DA75" s="229">
        <f t="shared" si="275"/>
        <v>0.83</v>
      </c>
      <c r="DB75" s="229">
        <f t="shared" si="276"/>
        <v>0.55286833630134347</v>
      </c>
      <c r="DC75" s="229">
        <f t="shared" si="277"/>
        <v>0.89</v>
      </c>
      <c r="DD75" s="229">
        <f t="shared" si="278"/>
        <v>0.85126059673183974</v>
      </c>
      <c r="DE75" s="229">
        <f t="shared" si="279"/>
        <v>0.25759383846767903</v>
      </c>
      <c r="DF75" s="229">
        <f t="shared" si="280"/>
        <v>30.260279808161389</v>
      </c>
      <c r="DH75" s="234">
        <f t="shared" si="368"/>
        <v>0.10507999999999999</v>
      </c>
      <c r="DI75" s="234">
        <f t="shared" si="369"/>
        <v>0.14200000000000002</v>
      </c>
      <c r="DJ75" s="234">
        <f t="shared" si="370"/>
        <v>0.1094618994991214</v>
      </c>
      <c r="DK75" s="234">
        <f t="shared" si="281"/>
        <v>0.11884729983304047</v>
      </c>
      <c r="DL75" s="234">
        <f t="shared" si="282"/>
        <v>2.0170173637600326E-2</v>
      </c>
      <c r="DM75" s="234">
        <f t="shared" si="283"/>
        <v>16.971503488876792</v>
      </c>
      <c r="DO75" s="229">
        <f t="shared" si="371"/>
        <v>2.38</v>
      </c>
      <c r="DP75" s="229">
        <f t="shared" si="372"/>
        <v>3.49</v>
      </c>
      <c r="DQ75" s="229">
        <f t="shared" si="373"/>
        <v>3.7584372307280232</v>
      </c>
      <c r="DR75" s="229">
        <f t="shared" si="374"/>
        <v>2.9437355093458439</v>
      </c>
      <c r="DS75" s="229">
        <f t="shared" si="375"/>
        <v>2.7008763060200498</v>
      </c>
      <c r="DT75" s="229">
        <f t="shared" si="376"/>
        <v>2.38</v>
      </c>
      <c r="DU75" s="229">
        <f t="shared" si="377"/>
        <v>3.2091999999999996</v>
      </c>
      <c r="DV75" s="229">
        <f t="shared" si="378"/>
        <v>3.2502544738601649</v>
      </c>
      <c r="DW75" s="229">
        <f t="shared" si="284"/>
        <v>3.0140629399942598</v>
      </c>
      <c r="DX75" s="229">
        <f t="shared" si="285"/>
        <v>0.50449090627510773</v>
      </c>
      <c r="DY75" s="229">
        <f t="shared" si="286"/>
        <v>16.737902171215726</v>
      </c>
      <c r="EA75" s="235">
        <f t="shared" si="379"/>
        <v>0.14000000000000001</v>
      </c>
      <c r="EB75" s="235">
        <f t="shared" si="380"/>
        <v>0.21684925389476636</v>
      </c>
      <c r="EC75" s="235">
        <f t="shared" si="381"/>
        <v>0.14000000000000001</v>
      </c>
      <c r="ED75" s="235">
        <f t="shared" si="382"/>
        <v>0.17073875091659138</v>
      </c>
      <c r="EE75" s="235">
        <f t="shared" si="383"/>
        <v>0.13616161074294986</v>
      </c>
      <c r="EF75" s="235">
        <f t="shared" si="384"/>
        <v>0.16074992311086153</v>
      </c>
      <c r="EG75" s="235">
        <f t="shared" si="385"/>
        <v>3.4324245507548423E-2</v>
      </c>
      <c r="EH75" s="235">
        <f t="shared" si="287"/>
        <v>21.352573514997349</v>
      </c>
      <c r="EJ75" s="229">
        <f t="shared" si="386"/>
        <v>7.5426305676856105</v>
      </c>
      <c r="EK75" s="229">
        <f t="shared" si="387"/>
        <v>18.189238902286682</v>
      </c>
      <c r="EL75" s="229">
        <f t="shared" si="388"/>
        <v>6.91</v>
      </c>
      <c r="EM75" s="229">
        <f t="shared" si="389"/>
        <v>14.4</v>
      </c>
      <c r="EN75" s="229">
        <f t="shared" si="390"/>
        <v>22.852202288673706</v>
      </c>
      <c r="EO75" s="229">
        <f t="shared" si="391"/>
        <v>25.139476479392943</v>
      </c>
      <c r="EP75" s="229">
        <f t="shared" si="392"/>
        <v>21.621494597817311</v>
      </c>
      <c r="EQ75" s="229">
        <f t="shared" si="393"/>
        <v>16.665006119408037</v>
      </c>
      <c r="ER75" s="229">
        <f t="shared" si="394"/>
        <v>7.3086277867274969</v>
      </c>
      <c r="ES75" s="229">
        <f t="shared" si="288"/>
        <v>43.856136231572584</v>
      </c>
      <c r="EU75" s="238">
        <f t="shared" si="395"/>
        <v>1.626083342062775E-2</v>
      </c>
      <c r="EV75" s="238">
        <f t="shared" si="396"/>
        <v>1.626083342062775E-2</v>
      </c>
      <c r="EW75" s="238" t="e">
        <f t="shared" si="397"/>
        <v>#DIV/0!</v>
      </c>
      <c r="EX75" s="238" t="e">
        <f t="shared" si="289"/>
        <v>#DIV/0!</v>
      </c>
      <c r="EZ75" s="240">
        <f t="shared" si="398"/>
        <v>2.7806025149273456E-2</v>
      </c>
      <c r="FA75" s="240">
        <f t="shared" si="399"/>
        <v>2.7806025149273456E-2</v>
      </c>
      <c r="FB75" s="240" t="e">
        <f t="shared" si="400"/>
        <v>#DIV/0!</v>
      </c>
      <c r="FC75" s="240" t="e">
        <f t="shared" si="290"/>
        <v>#DIV/0!</v>
      </c>
      <c r="FE75" s="236">
        <f t="shared" si="401"/>
        <v>0.9</v>
      </c>
      <c r="FF75" s="236">
        <f t="shared" si="402"/>
        <v>1.2</v>
      </c>
      <c r="FG75" s="236">
        <f t="shared" si="403"/>
        <v>1.3254940662273165</v>
      </c>
      <c r="FH75" s="236">
        <f t="shared" si="404"/>
        <v>1.3415187572017895</v>
      </c>
      <c r="FI75" s="236">
        <f t="shared" si="405"/>
        <v>0.9</v>
      </c>
      <c r="FJ75" s="236">
        <f t="shared" si="406"/>
        <v>1.1382583394439425</v>
      </c>
      <c r="FK75" s="236">
        <f t="shared" si="291"/>
        <v>1.1342118604788414</v>
      </c>
      <c r="FL75" s="236">
        <f t="shared" si="292"/>
        <v>0.19678408275899362</v>
      </c>
      <c r="FM75" s="236">
        <f t="shared" si="293"/>
        <v>17.349852317354127</v>
      </c>
      <c r="FO75" s="227">
        <f t="shared" si="407"/>
        <v>0.3</v>
      </c>
      <c r="FP75" s="227">
        <f t="shared" si="408"/>
        <v>0.32</v>
      </c>
      <c r="FQ75" s="227">
        <f t="shared" si="409"/>
        <v>0.34437199490701276</v>
      </c>
      <c r="FR75" s="227">
        <f t="shared" si="410"/>
        <v>0.3</v>
      </c>
      <c r="FS75" s="227">
        <f t="shared" si="411"/>
        <v>0.36586875196412438</v>
      </c>
      <c r="FT75" s="227">
        <f t="shared" si="294"/>
        <v>0.32604814937422744</v>
      </c>
      <c r="FU75" s="227">
        <f t="shared" si="295"/>
        <v>2.8788174604466428E-2</v>
      </c>
      <c r="FV75" s="227">
        <f t="shared" si="296"/>
        <v>8.8294243226709135</v>
      </c>
      <c r="FX75" s="230">
        <f t="shared" si="412"/>
        <v>2.94</v>
      </c>
      <c r="FY75" s="230">
        <f t="shared" si="413"/>
        <v>1.7073875091659139</v>
      </c>
      <c r="FZ75" s="230">
        <f t="shared" si="414"/>
        <v>2.94</v>
      </c>
      <c r="GA75" s="230">
        <f t="shared" si="415"/>
        <v>4.0641724698916075</v>
      </c>
      <c r="GB75" s="230">
        <f t="shared" si="297"/>
        <v>2.9128899947643805</v>
      </c>
      <c r="GC75" s="230">
        <f t="shared" si="298"/>
        <v>0.96266253780628364</v>
      </c>
      <c r="GD75" s="230">
        <f t="shared" si="299"/>
        <v>33.048365696492844</v>
      </c>
      <c r="GF75" s="231">
        <f t="shared" si="416"/>
        <v>0.06</v>
      </c>
      <c r="GG75" s="231">
        <f t="shared" si="417"/>
        <v>0.05</v>
      </c>
      <c r="GH75" s="231">
        <f t="shared" si="418"/>
        <v>0.06</v>
      </c>
      <c r="GI75" s="231">
        <f t="shared" si="419"/>
        <v>6.5043333682511001E-2</v>
      </c>
      <c r="GJ75" s="245">
        <f t="shared" si="432"/>
        <v>5.8760833420627746E-2</v>
      </c>
      <c r="GK75" s="231">
        <f t="shared" si="433"/>
        <v>6.3058988095120753E-3</v>
      </c>
      <c r="GL75" s="231">
        <f t="shared" si="300"/>
        <v>10.731465914332004</v>
      </c>
      <c r="GN75" s="246">
        <f t="shared" si="420"/>
        <v>0.18</v>
      </c>
      <c r="GO75" s="246">
        <f t="shared" si="421"/>
        <v>0.18</v>
      </c>
      <c r="GP75" s="246">
        <f t="shared" si="422"/>
        <v>0.17073875091659138</v>
      </c>
      <c r="GQ75" s="247">
        <f t="shared" si="434"/>
        <v>0.17691291697219713</v>
      </c>
      <c r="GR75" s="246">
        <f t="shared" si="435"/>
        <v>5.346984651338137E-3</v>
      </c>
      <c r="GS75" s="246">
        <f t="shared" si="301"/>
        <v>3.0223822787221617</v>
      </c>
      <c r="GU75" s="249">
        <f t="shared" si="423"/>
        <v>2.2277341786260018E-2</v>
      </c>
      <c r="GV75" s="249">
        <f t="shared" si="424"/>
        <v>2.2277341786260018E-2</v>
      </c>
      <c r="GW75" s="249" t="e">
        <f t="shared" si="425"/>
        <v>#DIV/0!</v>
      </c>
      <c r="GX75" s="249" t="e">
        <f t="shared" si="302"/>
        <v>#DIV/0!</v>
      </c>
      <c r="GZ75" s="240">
        <f t="shared" si="426"/>
        <v>2.4391250130941629E-2</v>
      </c>
      <c r="HA75" s="240">
        <f t="shared" si="427"/>
        <v>2.4391250130941629E-2</v>
      </c>
      <c r="HB75" s="240" t="e">
        <f t="shared" si="428"/>
        <v>#DIV/0!</v>
      </c>
      <c r="HC75" s="240" t="e">
        <f t="shared" si="303"/>
        <v>#DIV/0!</v>
      </c>
      <c r="HE75" s="234">
        <f t="shared" si="429"/>
        <v>9.6321758852735098E-2</v>
      </c>
      <c r="HF75" s="251">
        <f t="shared" si="430"/>
        <v>9.6321758852735098E-2</v>
      </c>
      <c r="HG75" s="234" t="e">
        <f t="shared" si="431"/>
        <v>#DIV/0!</v>
      </c>
      <c r="HH75" s="234" t="e">
        <f t="shared" si="304"/>
        <v>#DIV/0!</v>
      </c>
    </row>
    <row r="76" spans="2:216" ht="15.6" x14ac:dyDescent="0.25">
      <c r="B76">
        <v>72</v>
      </c>
      <c r="C76" s="124">
        <f t="shared" si="305"/>
        <v>80.889406269532628</v>
      </c>
      <c r="D76" s="124">
        <f t="shared" si="306"/>
        <v>167.46480777372199</v>
      </c>
      <c r="E76" s="29">
        <f t="shared" si="254"/>
        <v>1.9840254688870971</v>
      </c>
      <c r="F76" s="29">
        <f t="shared" si="255"/>
        <v>1.9035524664488062</v>
      </c>
      <c r="G76" s="29">
        <f t="shared" si="256"/>
        <v>1.958587397277318</v>
      </c>
      <c r="H76" s="29">
        <f t="shared" si="257"/>
        <v>1.9840254688870971</v>
      </c>
      <c r="I76" s="29">
        <f t="shared" si="258"/>
        <v>1.9397973026881059</v>
      </c>
      <c r="J76" s="125">
        <f t="shared" si="259"/>
        <v>1.953997620837685</v>
      </c>
      <c r="K76" s="126">
        <f t="shared" si="307"/>
        <v>3.3803742402247636E-2</v>
      </c>
      <c r="L76" s="126">
        <f t="shared" si="308"/>
        <v>1.7299786878837584</v>
      </c>
      <c r="N76" s="138">
        <f t="shared" si="309"/>
        <v>410.33950037591387</v>
      </c>
      <c r="O76" s="138">
        <f t="shared" si="310"/>
        <v>325.79239999999999</v>
      </c>
      <c r="P76" s="138">
        <f t="shared" si="311"/>
        <v>310.81652610782538</v>
      </c>
      <c r="Q76" s="138">
        <f t="shared" si="312"/>
        <v>427.65560913452202</v>
      </c>
      <c r="R76" s="138">
        <f t="shared" si="313"/>
        <v>410.33950037591387</v>
      </c>
      <c r="S76" s="138">
        <f t="shared" si="314"/>
        <v>316.2432</v>
      </c>
      <c r="T76" s="138">
        <f t="shared" si="315"/>
        <v>366.86445599902913</v>
      </c>
      <c r="U76" s="138">
        <f t="shared" si="316"/>
        <v>54.528009416598287</v>
      </c>
      <c r="V76" s="138">
        <f t="shared" si="317"/>
        <v>14.863257675947377</v>
      </c>
      <c r="X76" s="227">
        <f t="shared" si="318"/>
        <v>0.44190820320000007</v>
      </c>
      <c r="Y76" s="227">
        <f t="shared" si="319"/>
        <v>0.47</v>
      </c>
      <c r="Z76" s="227">
        <f t="shared" si="320"/>
        <v>0.44190820320000007</v>
      </c>
      <c r="AA76" s="227">
        <f t="shared" si="321"/>
        <v>0.45127213546666672</v>
      </c>
      <c r="AB76" s="227">
        <f t="shared" si="322"/>
        <v>1.621880644450021E-2</v>
      </c>
      <c r="AC76" s="227">
        <f t="shared" si="323"/>
        <v>3.5940190341528884</v>
      </c>
      <c r="AE76" s="228">
        <f t="shared" si="324"/>
        <v>4.3490501310424907</v>
      </c>
      <c r="AF76" s="228">
        <f t="shared" si="325"/>
        <v>5.2850000000000001</v>
      </c>
      <c r="AG76" s="228">
        <f t="shared" si="326"/>
        <v>4.3490501310424907</v>
      </c>
      <c r="AH76" s="228">
        <f t="shared" si="327"/>
        <v>7.2534900049014723</v>
      </c>
      <c r="AI76" s="228">
        <f t="shared" si="328"/>
        <v>5.2850000000000001</v>
      </c>
      <c r="AJ76" s="228">
        <f t="shared" si="329"/>
        <v>6.1556838171114334</v>
      </c>
      <c r="AK76" s="228">
        <f t="shared" si="330"/>
        <v>5.3743510164051802</v>
      </c>
      <c r="AL76" s="228">
        <f t="shared" si="331"/>
        <v>5.4359464429290094</v>
      </c>
      <c r="AM76" s="228">
        <f t="shared" si="332"/>
        <v>1.0192756682142881</v>
      </c>
      <c r="AN76" s="228">
        <f t="shared" si="333"/>
        <v>18.750656926359994</v>
      </c>
      <c r="AP76" s="229">
        <f t="shared" si="192"/>
        <v>1.4256564939673526</v>
      </c>
      <c r="AQ76" s="229">
        <f t="shared" si="193"/>
        <v>1.4</v>
      </c>
      <c r="AR76" s="229">
        <f t="shared" si="194"/>
        <v>1.47</v>
      </c>
      <c r="AS76" s="229">
        <f t="shared" si="195"/>
        <v>1.283335515729676</v>
      </c>
      <c r="AT76" s="229">
        <f t="shared" si="196"/>
        <v>1.4256564939673526</v>
      </c>
      <c r="AU76" s="229">
        <f t="shared" si="197"/>
        <v>1.3352606219050027</v>
      </c>
      <c r="AV76" s="229">
        <f t="shared" si="198"/>
        <v>1.4</v>
      </c>
      <c r="AW76" s="229">
        <f t="shared" si="199"/>
        <v>1.4499999999999809</v>
      </c>
      <c r="AX76" s="229">
        <f t="shared" si="200"/>
        <v>1.3542129424588012</v>
      </c>
      <c r="AY76" s="229">
        <f t="shared" si="334"/>
        <v>1.3937913408920184</v>
      </c>
      <c r="AZ76" s="229">
        <f t="shared" si="335"/>
        <v>5.9443069338010641E-2</v>
      </c>
      <c r="BA76" s="229">
        <f t="shared" si="336"/>
        <v>4.2648470824885036</v>
      </c>
      <c r="BC76" s="230">
        <f t="shared" si="337"/>
        <v>9.65</v>
      </c>
      <c r="BD76" s="230">
        <f t="shared" si="338"/>
        <v>11.73</v>
      </c>
      <c r="BE76" s="230">
        <f t="shared" si="339"/>
        <v>9.65</v>
      </c>
      <c r="BF76" s="230">
        <f t="shared" si="340"/>
        <v>8.7791999999999994</v>
      </c>
      <c r="BG76" s="230">
        <f t="shared" si="341"/>
        <v>9.952300000000001</v>
      </c>
      <c r="BH76" s="230">
        <f t="shared" si="342"/>
        <v>1.2542130972579155</v>
      </c>
      <c r="BI76" s="230">
        <f t="shared" si="343"/>
        <v>12.602243674908467</v>
      </c>
      <c r="BK76" s="227">
        <f t="shared" si="260"/>
        <v>19.600000000000001</v>
      </c>
      <c r="BL76" s="227">
        <f t="shared" si="261"/>
        <v>31.73</v>
      </c>
      <c r="BM76" s="227">
        <f t="shared" si="262"/>
        <v>39.791723566335442</v>
      </c>
      <c r="BN76" s="227">
        <f t="shared" si="263"/>
        <v>22.924910235539741</v>
      </c>
      <c r="BO76" s="227">
        <f t="shared" si="264"/>
        <v>19.600000000000001</v>
      </c>
      <c r="BP76" s="227">
        <f t="shared" si="265"/>
        <v>22.886964864559193</v>
      </c>
      <c r="BQ76" s="227">
        <f t="shared" si="266"/>
        <v>31.86</v>
      </c>
      <c r="BR76" s="227">
        <f t="shared" si="344"/>
        <v>26.913371238062059</v>
      </c>
      <c r="BS76" s="227">
        <f t="shared" si="345"/>
        <v>7.6660678166249303</v>
      </c>
      <c r="BT76" s="227">
        <f t="shared" si="267"/>
        <v>28.484234653528816</v>
      </c>
      <c r="BV76" s="231">
        <f t="shared" si="346"/>
        <v>0.26</v>
      </c>
      <c r="BW76" s="231">
        <f t="shared" si="347"/>
        <v>0.30414741134963375</v>
      </c>
      <c r="BX76" s="231">
        <f t="shared" si="348"/>
        <v>0.32576992640431013</v>
      </c>
      <c r="BY76" s="231">
        <f t="shared" si="349"/>
        <v>0.26</v>
      </c>
      <c r="BZ76" s="231">
        <f t="shared" si="350"/>
        <v>0.33973554914102239</v>
      </c>
      <c r="CA76" s="231">
        <f t="shared" si="351"/>
        <v>0.30242728064943064</v>
      </c>
      <c r="CB76" s="231">
        <f t="shared" si="352"/>
        <v>0.48</v>
      </c>
      <c r="CC76" s="231">
        <f t="shared" si="353"/>
        <v>0.42635404475646466</v>
      </c>
      <c r="CD76" s="231">
        <f t="shared" si="354"/>
        <v>0.33730427653760769</v>
      </c>
      <c r="CE76" s="231">
        <f t="shared" si="355"/>
        <v>7.8101187046988152E-2</v>
      </c>
      <c r="CF76" s="231">
        <f t="shared" si="268"/>
        <v>23.154520259478616</v>
      </c>
      <c r="CH76" s="232">
        <f t="shared" si="356"/>
        <v>1.4503136201421936</v>
      </c>
      <c r="CI76" s="232">
        <f t="shared" si="357"/>
        <v>1.52</v>
      </c>
      <c r="CJ76" s="232">
        <f t="shared" si="358"/>
        <v>2.1</v>
      </c>
      <c r="CK76" s="232">
        <f t="shared" si="359"/>
        <v>1.9979685347149669</v>
      </c>
      <c r="CL76" s="232">
        <f t="shared" si="360"/>
        <v>1.8038448894261905</v>
      </c>
      <c r="CM76" s="232">
        <f t="shared" si="361"/>
        <v>1.542291792797535</v>
      </c>
      <c r="CN76" s="232">
        <f t="shared" si="362"/>
        <v>1.4531549692782002</v>
      </c>
      <c r="CO76" s="232">
        <f t="shared" si="363"/>
        <v>1.896577014083825</v>
      </c>
      <c r="CP76" s="232">
        <f t="shared" si="364"/>
        <v>1.52</v>
      </c>
      <c r="CQ76" s="232">
        <f t="shared" si="365"/>
        <v>1.4536382779480403</v>
      </c>
      <c r="CR76" s="232">
        <f t="shared" si="366"/>
        <v>1.6737789098390952</v>
      </c>
      <c r="CS76" s="232">
        <f t="shared" si="367"/>
        <v>0.25055001933611398</v>
      </c>
      <c r="CT76" s="232">
        <f t="shared" si="269"/>
        <v>14.969122735582804</v>
      </c>
      <c r="CV76" s="229">
        <f t="shared" si="270"/>
        <v>0.83</v>
      </c>
      <c r="CW76" s="229">
        <f t="shared" si="271"/>
        <v>1.19</v>
      </c>
      <c r="CX76" s="229">
        <f t="shared" si="272"/>
        <v>0.80800086943092908</v>
      </c>
      <c r="CY76" s="229">
        <f t="shared" si="273"/>
        <v>0.49239638699675586</v>
      </c>
      <c r="CZ76" s="229">
        <f t="shared" si="274"/>
        <v>1.2068320864913005</v>
      </c>
      <c r="DA76" s="229">
        <f t="shared" si="275"/>
        <v>0.83</v>
      </c>
      <c r="DB76" s="229">
        <f t="shared" si="276"/>
        <v>0.55004796263282185</v>
      </c>
      <c r="DC76" s="229">
        <f t="shared" si="277"/>
        <v>0.89</v>
      </c>
      <c r="DD76" s="229">
        <f t="shared" si="278"/>
        <v>0.8496596631939759</v>
      </c>
      <c r="DE76" s="229">
        <f t="shared" si="279"/>
        <v>0.25772180656083293</v>
      </c>
      <c r="DF76" s="229">
        <f t="shared" si="280"/>
        <v>30.332357498533558</v>
      </c>
      <c r="DH76" s="234">
        <f t="shared" si="368"/>
        <v>0.10656</v>
      </c>
      <c r="DI76" s="234">
        <f t="shared" si="369"/>
        <v>0.14400000000000002</v>
      </c>
      <c r="DJ76" s="234">
        <f t="shared" si="370"/>
        <v>0.10878249176674462</v>
      </c>
      <c r="DK76" s="234">
        <f t="shared" si="281"/>
        <v>0.11978083058891487</v>
      </c>
      <c r="DL76" s="234">
        <f t="shared" si="282"/>
        <v>2.1003832808215005E-2</v>
      </c>
      <c r="DM76" s="234">
        <f t="shared" si="283"/>
        <v>17.535220539837205</v>
      </c>
      <c r="DO76" s="229">
        <f t="shared" si="371"/>
        <v>2.38</v>
      </c>
      <c r="DP76" s="229">
        <f t="shared" si="372"/>
        <v>3.49</v>
      </c>
      <c r="DQ76" s="229">
        <f t="shared" si="373"/>
        <v>3.7421388258592461</v>
      </c>
      <c r="DR76" s="229">
        <f t="shared" si="374"/>
        <v>2.9309964312565278</v>
      </c>
      <c r="DS76" s="229">
        <f t="shared" si="375"/>
        <v>2.6898003402986417</v>
      </c>
      <c r="DT76" s="229">
        <f t="shared" si="376"/>
        <v>2.38</v>
      </c>
      <c r="DU76" s="229">
        <f t="shared" si="377"/>
        <v>3.2544</v>
      </c>
      <c r="DV76" s="229">
        <f t="shared" si="378"/>
        <v>3.2052985399171332</v>
      </c>
      <c r="DW76" s="229">
        <f t="shared" si="284"/>
        <v>3.0090792671664435</v>
      </c>
      <c r="DX76" s="229">
        <f t="shared" si="285"/>
        <v>0.50240318811258133</v>
      </c>
      <c r="DY76" s="229">
        <f t="shared" si="286"/>
        <v>16.696243053300446</v>
      </c>
      <c r="EA76" s="235">
        <f t="shared" si="379"/>
        <v>0.14000000000000001</v>
      </c>
      <c r="EB76" s="235">
        <f t="shared" si="380"/>
        <v>0.21592990258117095</v>
      </c>
      <c r="EC76" s="235">
        <f t="shared" si="381"/>
        <v>0.14000000000000001</v>
      </c>
      <c r="ED76" s="235">
        <f t="shared" si="382"/>
        <v>0.16986775316601851</v>
      </c>
      <c r="EE76" s="235">
        <f t="shared" si="383"/>
        <v>0.13538696345416068</v>
      </c>
      <c r="EF76" s="235">
        <f t="shared" si="384"/>
        <v>0.16023692384027005</v>
      </c>
      <c r="EG76" s="235">
        <f t="shared" si="385"/>
        <v>3.4025899910072592E-2</v>
      </c>
      <c r="EH76" s="235">
        <f t="shared" si="287"/>
        <v>21.234743587558405</v>
      </c>
      <c r="EJ76" s="229">
        <f t="shared" si="386"/>
        <v>7.5426305676856105</v>
      </c>
      <c r="EK76" s="229">
        <f t="shared" si="387"/>
        <v>18.157224861080351</v>
      </c>
      <c r="EL76" s="229">
        <f t="shared" si="388"/>
        <v>6.91</v>
      </c>
      <c r="EM76" s="229">
        <f t="shared" si="389"/>
        <v>14.4</v>
      </c>
      <c r="EN76" s="229">
        <f t="shared" si="390"/>
        <v>22.805384317627212</v>
      </c>
      <c r="EO76" s="229">
        <f t="shared" si="391"/>
        <v>25.144602416620057</v>
      </c>
      <c r="EP76" s="229">
        <f t="shared" si="392"/>
        <v>21.328549762168571</v>
      </c>
      <c r="EQ76" s="229">
        <f t="shared" si="393"/>
        <v>16.612627417883115</v>
      </c>
      <c r="ER76" s="229">
        <f t="shared" si="394"/>
        <v>7.2694805176674624</v>
      </c>
      <c r="ES76" s="229">
        <f t="shared" si="288"/>
        <v>43.758764551849474</v>
      </c>
      <c r="EU76" s="238">
        <f t="shared" si="395"/>
        <v>1.6177881253906526E-2</v>
      </c>
      <c r="EV76" s="238">
        <f t="shared" si="396"/>
        <v>1.6177881253906526E-2</v>
      </c>
      <c r="EW76" s="238" t="e">
        <f t="shared" si="397"/>
        <v>#DIV/0!</v>
      </c>
      <c r="EX76" s="238" t="e">
        <f t="shared" si="289"/>
        <v>#DIV/0!</v>
      </c>
      <c r="EZ76" s="240">
        <f t="shared" si="398"/>
        <v>2.766417694418016E-2</v>
      </c>
      <c r="FA76" s="240">
        <f t="shared" si="399"/>
        <v>2.766417694418016E-2</v>
      </c>
      <c r="FB76" s="240" t="e">
        <f t="shared" si="400"/>
        <v>#DIV/0!</v>
      </c>
      <c r="FC76" s="240" t="e">
        <f t="shared" si="290"/>
        <v>#DIV/0!</v>
      </c>
      <c r="FE76" s="236">
        <f t="shared" si="401"/>
        <v>0.9</v>
      </c>
      <c r="FF76" s="236">
        <f t="shared" si="402"/>
        <v>1.2</v>
      </c>
      <c r="FG76" s="236">
        <f t="shared" si="403"/>
        <v>1.3180673669089487</v>
      </c>
      <c r="FH76" s="236">
        <f t="shared" si="404"/>
        <v>1.3346752034472884</v>
      </c>
      <c r="FI76" s="236">
        <f t="shared" si="405"/>
        <v>0.9</v>
      </c>
      <c r="FJ76" s="236">
        <f t="shared" si="406"/>
        <v>1.1324516877734567</v>
      </c>
      <c r="FK76" s="236">
        <f t="shared" si="291"/>
        <v>1.1308657096882824</v>
      </c>
      <c r="FL76" s="236">
        <f t="shared" si="292"/>
        <v>0.19388800244244375</v>
      </c>
      <c r="FM76" s="236">
        <f t="shared" si="293"/>
        <v>17.145095194007435</v>
      </c>
      <c r="FO76" s="227">
        <f t="shared" si="407"/>
        <v>0.3</v>
      </c>
      <c r="FP76" s="227">
        <f t="shared" si="408"/>
        <v>0.32</v>
      </c>
      <c r="FQ76" s="227">
        <f t="shared" si="409"/>
        <v>0.34223810422373346</v>
      </c>
      <c r="FR76" s="227">
        <f t="shared" si="410"/>
        <v>0.3</v>
      </c>
      <c r="FS76" s="227">
        <f t="shared" si="411"/>
        <v>0.3640023282128968</v>
      </c>
      <c r="FT76" s="227">
        <f t="shared" si="294"/>
        <v>0.32524808648732606</v>
      </c>
      <c r="FU76" s="227">
        <f t="shared" si="295"/>
        <v>2.7807490486957177E-2</v>
      </c>
      <c r="FV76" s="227">
        <f t="shared" si="296"/>
        <v>8.5496246226311765</v>
      </c>
      <c r="FX76" s="230">
        <f t="shared" si="412"/>
        <v>2.94</v>
      </c>
      <c r="FY76" s="230">
        <f t="shared" si="413"/>
        <v>1.6986775316601852</v>
      </c>
      <c r="FZ76" s="230">
        <f t="shared" si="414"/>
        <v>2.94</v>
      </c>
      <c r="GA76" s="230">
        <f t="shared" si="415"/>
        <v>4.0435489107010563</v>
      </c>
      <c r="GB76" s="230">
        <f t="shared" si="297"/>
        <v>2.9055566105903106</v>
      </c>
      <c r="GC76" s="230">
        <f t="shared" si="298"/>
        <v>0.95811556025680267</v>
      </c>
      <c r="GD76" s="230">
        <f t="shared" si="299"/>
        <v>32.975284555276524</v>
      </c>
      <c r="GF76" s="231">
        <f t="shared" si="416"/>
        <v>0.06</v>
      </c>
      <c r="GG76" s="231">
        <f t="shared" si="417"/>
        <v>0.05</v>
      </c>
      <c r="GH76" s="231">
        <f t="shared" si="418"/>
        <v>0.06</v>
      </c>
      <c r="GI76" s="231">
        <f t="shared" si="419"/>
        <v>6.4711525015626103E-2</v>
      </c>
      <c r="GJ76" s="245">
        <f t="shared" si="432"/>
        <v>5.8677881253906522E-2</v>
      </c>
      <c r="GK76" s="231">
        <f t="shared" si="433"/>
        <v>6.1969475297058794E-3</v>
      </c>
      <c r="GL76" s="231">
        <f t="shared" si="300"/>
        <v>10.560959934614738</v>
      </c>
      <c r="GN76" s="246">
        <f t="shared" si="420"/>
        <v>0.18</v>
      </c>
      <c r="GO76" s="246">
        <f t="shared" si="421"/>
        <v>0.18</v>
      </c>
      <c r="GP76" s="246">
        <f t="shared" si="422"/>
        <v>0.16986775316601851</v>
      </c>
      <c r="GQ76" s="247">
        <f t="shared" si="434"/>
        <v>0.17662258438867284</v>
      </c>
      <c r="GR76" s="246">
        <f t="shared" si="435"/>
        <v>5.8498554370949403E-3</v>
      </c>
      <c r="GS76" s="246">
        <f t="shared" si="301"/>
        <v>3.3120653609177415</v>
      </c>
      <c r="GU76" s="249">
        <f t="shared" si="423"/>
        <v>2.2163697317851939E-2</v>
      </c>
      <c r="GV76" s="249">
        <f t="shared" si="424"/>
        <v>2.2163697317851939E-2</v>
      </c>
      <c r="GW76" s="249" t="e">
        <f t="shared" si="425"/>
        <v>#DIV/0!</v>
      </c>
      <c r="GX76" s="249" t="e">
        <f t="shared" si="302"/>
        <v>#DIV/0!</v>
      </c>
      <c r="GZ76" s="240">
        <f t="shared" si="426"/>
        <v>2.4266821880859792E-2</v>
      </c>
      <c r="HA76" s="240">
        <f t="shared" si="427"/>
        <v>2.4266821880859792E-2</v>
      </c>
      <c r="HB76" s="240" t="e">
        <f t="shared" si="428"/>
        <v>#DIV/0!</v>
      </c>
      <c r="HC76" s="240" t="e">
        <f t="shared" si="303"/>
        <v>#DIV/0!</v>
      </c>
      <c r="HE76" s="234">
        <f t="shared" si="429"/>
        <v>9.582819346074381E-2</v>
      </c>
      <c r="HF76" s="251">
        <f t="shared" si="430"/>
        <v>9.582819346074381E-2</v>
      </c>
      <c r="HG76" s="234" t="e">
        <f t="shared" si="431"/>
        <v>#DIV/0!</v>
      </c>
      <c r="HH76" s="234" t="e">
        <f t="shared" si="304"/>
        <v>#DIV/0!</v>
      </c>
    </row>
    <row r="77" spans="2:216" ht="15.6" x14ac:dyDescent="0.25">
      <c r="B77">
        <v>73</v>
      </c>
      <c r="C77" s="124">
        <f t="shared" si="305"/>
        <v>80.283521877543535</v>
      </c>
      <c r="D77" s="124">
        <f t="shared" si="306"/>
        <v>166.97899060690816</v>
      </c>
      <c r="E77" s="29">
        <f t="shared" si="254"/>
        <v>1.9738738717232636</v>
      </c>
      <c r="F77" s="29">
        <f t="shared" si="255"/>
        <v>1.8934872197850887</v>
      </c>
      <c r="G77" s="29">
        <f t="shared" si="256"/>
        <v>1.948627888395547</v>
      </c>
      <c r="H77" s="29">
        <f t="shared" si="257"/>
        <v>1.9738738717232636</v>
      </c>
      <c r="I77" s="29">
        <f t="shared" si="258"/>
        <v>1.9297136694252399</v>
      </c>
      <c r="J77" s="125">
        <f t="shared" si="259"/>
        <v>1.9439153042104806</v>
      </c>
      <c r="K77" s="126">
        <f t="shared" si="307"/>
        <v>3.3770986489607829E-2</v>
      </c>
      <c r="L77" s="126">
        <f t="shared" si="308"/>
        <v>1.7372663519064111</v>
      </c>
      <c r="N77" s="138">
        <f t="shared" si="309"/>
        <v>408.22221388420093</v>
      </c>
      <c r="O77" s="138">
        <f t="shared" si="310"/>
        <v>325.79239999999999</v>
      </c>
      <c r="P77" s="138">
        <f t="shared" si="311"/>
        <v>307.05251670344603</v>
      </c>
      <c r="Q77" s="138">
        <f t="shared" si="312"/>
        <v>425.21605869603093</v>
      </c>
      <c r="R77" s="138">
        <f t="shared" si="313"/>
        <v>408.22221388420093</v>
      </c>
      <c r="S77" s="138">
        <f t="shared" si="314"/>
        <v>312.09870000000001</v>
      </c>
      <c r="T77" s="138">
        <f t="shared" si="315"/>
        <v>364.43401719464646</v>
      </c>
      <c r="U77" s="138">
        <f t="shared" si="316"/>
        <v>54.870876631644663</v>
      </c>
      <c r="V77" s="138">
        <f t="shared" si="317"/>
        <v>15.056464007951758</v>
      </c>
      <c r="X77" s="227">
        <f t="shared" si="318"/>
        <v>0.44285815055</v>
      </c>
      <c r="Y77" s="227">
        <f t="shared" si="319"/>
        <v>0.47</v>
      </c>
      <c r="Z77" s="227">
        <f t="shared" si="320"/>
        <v>0.44285815055</v>
      </c>
      <c r="AA77" s="227">
        <f t="shared" si="321"/>
        <v>0.45190543369999997</v>
      </c>
      <c r="AB77" s="227">
        <f t="shared" si="322"/>
        <v>1.5670354086261783E-2</v>
      </c>
      <c r="AC77" s="227">
        <f t="shared" si="323"/>
        <v>3.4676179832492653</v>
      </c>
      <c r="AE77" s="228">
        <f t="shared" si="324"/>
        <v>4.3219522152663821</v>
      </c>
      <c r="AF77" s="228">
        <f t="shared" si="325"/>
        <v>5.2850000000000001</v>
      </c>
      <c r="AG77" s="228">
        <f t="shared" si="326"/>
        <v>4.3219522152663821</v>
      </c>
      <c r="AH77" s="228">
        <f t="shared" si="327"/>
        <v>7.1991763454766433</v>
      </c>
      <c r="AI77" s="228">
        <f t="shared" si="328"/>
        <v>5.2850000000000001</v>
      </c>
      <c r="AJ77" s="228">
        <f t="shared" si="329"/>
        <v>6.1095760148810632</v>
      </c>
      <c r="AK77" s="228">
        <f t="shared" si="330"/>
        <v>5.3426773236046232</v>
      </c>
      <c r="AL77" s="228">
        <f t="shared" si="331"/>
        <v>5.4093334449278716</v>
      </c>
      <c r="AM77" s="228">
        <f t="shared" si="332"/>
        <v>1.007805684992966</v>
      </c>
      <c r="AN77" s="228">
        <f t="shared" si="333"/>
        <v>18.630866358182217</v>
      </c>
      <c r="AP77" s="229">
        <f t="shared" si="192"/>
        <v>1.4259180021783102</v>
      </c>
      <c r="AQ77" s="229">
        <f t="shared" si="193"/>
        <v>1.4</v>
      </c>
      <c r="AR77" s="229">
        <f t="shared" si="194"/>
        <v>1.47</v>
      </c>
      <c r="AS77" s="229">
        <f t="shared" si="195"/>
        <v>1.2795385223481122</v>
      </c>
      <c r="AT77" s="229">
        <f t="shared" si="196"/>
        <v>1.4259180021783102</v>
      </c>
      <c r="AU77" s="229">
        <f t="shared" si="197"/>
        <v>1.3610050733347108</v>
      </c>
      <c r="AV77" s="229">
        <f t="shared" si="198"/>
        <v>1.4</v>
      </c>
      <c r="AW77" s="229">
        <f t="shared" si="199"/>
        <v>1.4499999999999875</v>
      </c>
      <c r="AX77" s="229">
        <f t="shared" si="200"/>
        <v>1.3520616912158316</v>
      </c>
      <c r="AY77" s="229">
        <f t="shared" si="334"/>
        <v>1.3960490323616959</v>
      </c>
      <c r="AZ77" s="229">
        <f t="shared" si="335"/>
        <v>5.8022245431291287E-2</v>
      </c>
      <c r="BA77" s="229">
        <f t="shared" si="336"/>
        <v>4.1561753266742407</v>
      </c>
      <c r="BC77" s="230">
        <f t="shared" si="337"/>
        <v>9.65</v>
      </c>
      <c r="BD77" s="230">
        <f t="shared" si="338"/>
        <v>11.73</v>
      </c>
      <c r="BE77" s="230">
        <f t="shared" si="339"/>
        <v>9.65</v>
      </c>
      <c r="BF77" s="230">
        <f t="shared" si="340"/>
        <v>8.7733538461538458</v>
      </c>
      <c r="BG77" s="230">
        <f>AVERAGE(BC77:BF77)</f>
        <v>9.9508384615384617</v>
      </c>
      <c r="BH77" s="230">
        <f>STDEV(BC77:BF77)</f>
        <v>1.2560378655770299</v>
      </c>
      <c r="BI77" s="230">
        <f t="shared" si="343"/>
        <v>12.622432475733694</v>
      </c>
      <c r="BK77" s="227">
        <f t="shared" si="260"/>
        <v>19.600000000000001</v>
      </c>
      <c r="BL77" s="227">
        <f t="shared" si="261"/>
        <v>31.73</v>
      </c>
      <c r="BM77" s="227">
        <f t="shared" si="262"/>
        <v>39.571425250978933</v>
      </c>
      <c r="BN77" s="227">
        <f t="shared" si="263"/>
        <v>22.86990907189173</v>
      </c>
      <c r="BO77" s="227">
        <f t="shared" si="264"/>
        <v>19.600000000000001</v>
      </c>
      <c r="BP77" s="227">
        <f t="shared" si="265"/>
        <v>22.326555778760866</v>
      </c>
      <c r="BQ77" s="227">
        <f t="shared" si="266"/>
        <v>31.86</v>
      </c>
      <c r="BR77" s="227">
        <f t="shared" si="344"/>
        <v>26.793984300233074</v>
      </c>
      <c r="BS77" s="227">
        <f t="shared" si="345"/>
        <v>7.6611016127422786</v>
      </c>
      <c r="BT77" s="227">
        <f t="shared" si="267"/>
        <v>28.592618129867443</v>
      </c>
      <c r="BV77" s="231">
        <f t="shared" si="346"/>
        <v>0.26</v>
      </c>
      <c r="BW77" s="231">
        <f t="shared" si="347"/>
        <v>0.30153001009327995</v>
      </c>
      <c r="BX77" s="231">
        <f t="shared" si="348"/>
        <v>0.32397333032755027</v>
      </c>
      <c r="BY77" s="231">
        <f t="shared" si="349"/>
        <v>0.26</v>
      </c>
      <c r="BZ77" s="231">
        <f t="shared" si="350"/>
        <v>0.3371908260516332</v>
      </c>
      <c r="CA77" s="231">
        <f t="shared" si="351"/>
        <v>0.30051501846431228</v>
      </c>
      <c r="CB77" s="231">
        <f t="shared" si="352"/>
        <v>0.48</v>
      </c>
      <c r="CC77" s="231">
        <f t="shared" si="353"/>
        <v>0.42431525601570191</v>
      </c>
      <c r="CD77" s="231">
        <f t="shared" si="354"/>
        <v>0.33594055511905974</v>
      </c>
      <c r="CE77" s="231">
        <f t="shared" si="355"/>
        <v>7.8085099314256126E-2</v>
      </c>
      <c r="CF77" s="231">
        <f t="shared" si="268"/>
        <v>23.243725154464371</v>
      </c>
      <c r="CH77" s="232">
        <f t="shared" si="356"/>
        <v>1.4413613910988483</v>
      </c>
      <c r="CI77" s="232">
        <f t="shared" si="357"/>
        <v>1.52</v>
      </c>
      <c r="CJ77" s="232">
        <f t="shared" si="358"/>
        <v>2.1</v>
      </c>
      <c r="CK77" s="232">
        <f t="shared" si="359"/>
        <v>1.9830031498820677</v>
      </c>
      <c r="CL77" s="232">
        <f t="shared" si="360"/>
        <v>1.7833409337101118</v>
      </c>
      <c r="CM77" s="232">
        <f t="shared" si="361"/>
        <v>1.5332736305947845</v>
      </c>
      <c r="CN77" s="232">
        <f t="shared" si="362"/>
        <v>1.4441852016777426</v>
      </c>
      <c r="CO77" s="232">
        <f t="shared" si="363"/>
        <v>1.8830873005571047</v>
      </c>
      <c r="CP77" s="232">
        <f t="shared" si="364"/>
        <v>1.52</v>
      </c>
      <c r="CQ77" s="232">
        <f t="shared" si="365"/>
        <v>1.44583346811561</v>
      </c>
      <c r="CR77" s="232">
        <f t="shared" si="366"/>
        <v>1.6654085075636271</v>
      </c>
      <c r="CS77" s="232">
        <f t="shared" si="367"/>
        <v>0.24902592222286579</v>
      </c>
      <c r="CT77" s="232">
        <f t="shared" si="269"/>
        <v>14.952843166819942</v>
      </c>
      <c r="CV77" s="229">
        <f t="shared" si="270"/>
        <v>0.83</v>
      </c>
      <c r="CW77" s="229">
        <f t="shared" si="271"/>
        <v>1.19</v>
      </c>
      <c r="CX77" s="229">
        <f t="shared" si="272"/>
        <v>0.80317402164906682</v>
      </c>
      <c r="CY77" s="229">
        <f t="shared" si="273"/>
        <v>0.49026618522147086</v>
      </c>
      <c r="CZ77" s="229">
        <f t="shared" si="274"/>
        <v>1.2000058101519884</v>
      </c>
      <c r="DA77" s="229">
        <f t="shared" si="275"/>
        <v>0.83</v>
      </c>
      <c r="DB77" s="229">
        <f t="shared" si="276"/>
        <v>0.545927948767296</v>
      </c>
      <c r="DC77" s="229">
        <f t="shared" si="277"/>
        <v>0.89</v>
      </c>
      <c r="DD77" s="229">
        <f t="shared" si="278"/>
        <v>0.84742174572372764</v>
      </c>
      <c r="DE77" s="229">
        <f t="shared" si="279"/>
        <v>0.25760207132700585</v>
      </c>
      <c r="DF77" s="229">
        <f t="shared" si="280"/>
        <v>30.398331483340062</v>
      </c>
      <c r="DH77" s="234">
        <f t="shared" si="368"/>
        <v>0.10804</v>
      </c>
      <c r="DI77" s="234">
        <f t="shared" si="369"/>
        <v>0.14599999999999999</v>
      </c>
      <c r="DJ77" s="234">
        <f t="shared" si="370"/>
        <v>0.10805490378107263</v>
      </c>
      <c r="DK77" s="234">
        <f t="shared" si="281"/>
        <v>0.12069830126035754</v>
      </c>
      <c r="DL77" s="234">
        <f t="shared" si="282"/>
        <v>2.1911915134565169E-2</v>
      </c>
      <c r="DM77" s="234">
        <f t="shared" si="283"/>
        <v>18.154286270607169</v>
      </c>
      <c r="DO77" s="229">
        <f t="shared" si="371"/>
        <v>2.38</v>
      </c>
      <c r="DP77" s="229">
        <f t="shared" si="372"/>
        <v>3.49</v>
      </c>
      <c r="DQ77" s="229">
        <f t="shared" si="373"/>
        <v>3.7227900182194889</v>
      </c>
      <c r="DR77" s="229">
        <f t="shared" si="374"/>
        <v>2.9158729563157206</v>
      </c>
      <c r="DS77" s="229">
        <f t="shared" si="375"/>
        <v>2.6736809535524375</v>
      </c>
      <c r="DT77" s="229">
        <f t="shared" si="376"/>
        <v>2.38</v>
      </c>
      <c r="DU77" s="229">
        <f t="shared" si="377"/>
        <v>3.2995999999999999</v>
      </c>
      <c r="DV77" s="229">
        <f t="shared" si="378"/>
        <v>3.1527347000321275</v>
      </c>
      <c r="DW77" s="229">
        <f t="shared" si="284"/>
        <v>3.0018348285149719</v>
      </c>
      <c r="DX77" s="229">
        <f t="shared" si="285"/>
        <v>0.50113414312219262</v>
      </c>
      <c r="DY77" s="229">
        <f t="shared" si="286"/>
        <v>16.694261068658033</v>
      </c>
      <c r="EA77" s="235">
        <f t="shared" si="379"/>
        <v>0.14000000000000001</v>
      </c>
      <c r="EB77" s="235">
        <f t="shared" si="380"/>
        <v>0.21458346581814045</v>
      </c>
      <c r="EC77" s="235">
        <f t="shared" si="381"/>
        <v>0.14000000000000001</v>
      </c>
      <c r="ED77" s="235">
        <f t="shared" si="382"/>
        <v>0.16859539594284143</v>
      </c>
      <c r="EE77" s="235">
        <f t="shared" si="383"/>
        <v>0.13455738199137007</v>
      </c>
      <c r="EF77" s="235">
        <f t="shared" si="384"/>
        <v>0.15954724875047041</v>
      </c>
      <c r="EG77" s="235">
        <f t="shared" si="385"/>
        <v>3.3539295851275665E-2</v>
      </c>
      <c r="EH77" s="235">
        <f t="shared" si="287"/>
        <v>21.021544472841796</v>
      </c>
      <c r="EJ77" s="229">
        <f t="shared" si="386"/>
        <v>7.5426305676856105</v>
      </c>
      <c r="EK77" s="229">
        <f t="shared" si="387"/>
        <v>18.01757577776867</v>
      </c>
      <c r="EL77" s="229">
        <f t="shared" si="388"/>
        <v>6.91</v>
      </c>
      <c r="EM77" s="229">
        <f t="shared" si="389"/>
        <v>14.4</v>
      </c>
      <c r="EN77" s="229">
        <f t="shared" si="390"/>
        <v>22.730956392520024</v>
      </c>
      <c r="EO77" s="229">
        <f t="shared" si="391"/>
        <v>24.991904363254012</v>
      </c>
      <c r="EP77" s="229">
        <f t="shared" si="392"/>
        <v>20.903258693963714</v>
      </c>
      <c r="EQ77" s="229">
        <f t="shared" si="393"/>
        <v>16.499475113598862</v>
      </c>
      <c r="ER77" s="229">
        <f t="shared" si="394"/>
        <v>7.1791543822583472</v>
      </c>
      <c r="ES77" s="229">
        <f t="shared" si="288"/>
        <v>43.51141071355228</v>
      </c>
      <c r="EU77" s="238">
        <f t="shared" si="395"/>
        <v>1.6056704375508709E-2</v>
      </c>
      <c r="EV77" s="238">
        <f t="shared" si="396"/>
        <v>1.6056704375508709E-2</v>
      </c>
      <c r="EW77" s="238" t="e">
        <f t="shared" si="397"/>
        <v>#DIV/0!</v>
      </c>
      <c r="EX77" s="238" t="e">
        <f t="shared" si="289"/>
        <v>#DIV/0!</v>
      </c>
      <c r="EZ77" s="240">
        <f t="shared" si="398"/>
        <v>2.745696448211989E-2</v>
      </c>
      <c r="FA77" s="240">
        <f t="shared" si="399"/>
        <v>2.745696448211989E-2</v>
      </c>
      <c r="FB77" s="240" t="e">
        <f t="shared" si="400"/>
        <v>#DIV/0!</v>
      </c>
      <c r="FC77" s="240" t="e">
        <f t="shared" si="290"/>
        <v>#DIV/0!</v>
      </c>
      <c r="FE77" s="236">
        <f t="shared" si="401"/>
        <v>0.9</v>
      </c>
      <c r="FF77" s="236">
        <f t="shared" si="402"/>
        <v>1.2</v>
      </c>
      <c r="FG77" s="236">
        <f t="shared" si="403"/>
        <v>1.3081160261321421</v>
      </c>
      <c r="FH77" s="236">
        <f t="shared" si="404"/>
        <v>1.3246781109794683</v>
      </c>
      <c r="FI77" s="236">
        <f t="shared" si="405"/>
        <v>0.9</v>
      </c>
      <c r="FJ77" s="236">
        <f t="shared" si="406"/>
        <v>1.1239693062856095</v>
      </c>
      <c r="FK77" s="236">
        <f t="shared" si="291"/>
        <v>1.1261272405662035</v>
      </c>
      <c r="FL77" s="236">
        <f t="shared" si="292"/>
        <v>0.18987957516938023</v>
      </c>
      <c r="FM77" s="236">
        <f t="shared" si="293"/>
        <v>16.861289588724539</v>
      </c>
      <c r="FO77" s="227">
        <f t="shared" si="407"/>
        <v>0.3</v>
      </c>
      <c r="FP77" s="227">
        <f t="shared" si="408"/>
        <v>0.32</v>
      </c>
      <c r="FQ77" s="227">
        <f t="shared" si="409"/>
        <v>0.33990154716478926</v>
      </c>
      <c r="FR77" s="227">
        <f t="shared" si="410"/>
        <v>0.3</v>
      </c>
      <c r="FS77" s="227">
        <f t="shared" si="411"/>
        <v>0.36127584844894589</v>
      </c>
      <c r="FT77" s="227">
        <f t="shared" si="294"/>
        <v>0.32423547912274697</v>
      </c>
      <c r="FU77" s="227">
        <f t="shared" si="295"/>
        <v>2.6505050592936771E-2</v>
      </c>
      <c r="FV77" s="227">
        <f t="shared" si="296"/>
        <v>8.1746299524805117</v>
      </c>
      <c r="FX77" s="230">
        <f t="shared" si="412"/>
        <v>2.94</v>
      </c>
      <c r="FY77" s="230">
        <f t="shared" si="413"/>
        <v>1.6859539594284143</v>
      </c>
      <c r="FZ77" s="230">
        <f t="shared" si="414"/>
        <v>2.94</v>
      </c>
      <c r="GA77" s="230">
        <f t="shared" si="415"/>
        <v>4.0133584893221066</v>
      </c>
      <c r="GB77" s="230">
        <f t="shared" si="297"/>
        <v>2.8948281121876303</v>
      </c>
      <c r="GC77" s="230">
        <f t="shared" si="298"/>
        <v>0.95158953347875941</v>
      </c>
      <c r="GD77" s="230">
        <f t="shared" si="299"/>
        <v>32.872056529796531</v>
      </c>
      <c r="GF77" s="231">
        <f t="shared" si="416"/>
        <v>0.06</v>
      </c>
      <c r="GG77" s="231">
        <f t="shared" si="417"/>
        <v>0.05</v>
      </c>
      <c r="GH77" s="231">
        <f t="shared" si="418"/>
        <v>0.06</v>
      </c>
      <c r="GI77" s="231">
        <f t="shared" si="419"/>
        <v>6.4226817502034836E-2</v>
      </c>
      <c r="GJ77" s="245">
        <f t="shared" si="432"/>
        <v>5.8556704375508709E-2</v>
      </c>
      <c r="GK77" s="231">
        <f>STDEV(GF77:GI77)</f>
        <v>6.042449204221886E-3</v>
      </c>
      <c r="GL77" s="231">
        <f t="shared" si="300"/>
        <v>10.318970762892071</v>
      </c>
      <c r="GN77" s="246">
        <f t="shared" si="420"/>
        <v>0.18</v>
      </c>
      <c r="GO77" s="246">
        <f t="shared" si="421"/>
        <v>0.18</v>
      </c>
      <c r="GP77" s="246">
        <f t="shared" si="422"/>
        <v>0.16859539594284143</v>
      </c>
      <c r="GQ77" s="247">
        <f t="shared" si="434"/>
        <v>0.17619846531428049</v>
      </c>
      <c r="GR77" s="246">
        <f>STDEV(GM77:GP77)</f>
        <v>6.584451222401597E-3</v>
      </c>
      <c r="GS77" s="246">
        <f t="shared" si="301"/>
        <v>3.7369515169482814</v>
      </c>
      <c r="GU77" s="249">
        <f t="shared" si="423"/>
        <v>2.1997684994446928E-2</v>
      </c>
      <c r="GV77" s="249">
        <f t="shared" si="424"/>
        <v>2.1997684994446928E-2</v>
      </c>
      <c r="GW77" s="249" t="e">
        <f t="shared" si="425"/>
        <v>#DIV/0!</v>
      </c>
      <c r="GX77" s="249" t="e">
        <f t="shared" si="302"/>
        <v>#DIV/0!</v>
      </c>
      <c r="GZ77" s="240">
        <f t="shared" si="426"/>
        <v>2.4085056563263062E-2</v>
      </c>
      <c r="HA77" s="240">
        <f t="shared" si="427"/>
        <v>2.4085056563263062E-2</v>
      </c>
      <c r="HB77" s="240" t="e">
        <f t="shared" si="428"/>
        <v>#DIV/0!</v>
      </c>
      <c r="HC77" s="240" t="e">
        <f t="shared" si="303"/>
        <v>#DIV/0!</v>
      </c>
      <c r="HE77" s="234">
        <f t="shared" si="429"/>
        <v>9.5107191034276797E-2</v>
      </c>
      <c r="HF77" s="251">
        <f t="shared" si="430"/>
        <v>9.5107191034276797E-2</v>
      </c>
      <c r="HG77" s="234" t="e">
        <f t="shared" si="431"/>
        <v>#DIV/0!</v>
      </c>
      <c r="HH77" s="234" t="e">
        <f t="shared" si="304"/>
        <v>#DIV/0!</v>
      </c>
    </row>
    <row r="78" spans="2:216" ht="15.6" x14ac:dyDescent="0.25">
      <c r="B78">
        <v>74</v>
      </c>
      <c r="C78" s="124">
        <f t="shared" si="305"/>
        <v>79.480856496375054</v>
      </c>
      <c r="D78" s="124">
        <f t="shared" si="306"/>
        <v>166.66763913115346</v>
      </c>
      <c r="E78" s="29">
        <f t="shared" si="254"/>
        <v>1.9620485608315004</v>
      </c>
      <c r="F78" s="29">
        <f t="shared" si="255"/>
        <v>1.8828689044921083</v>
      </c>
      <c r="G78" s="29">
        <f t="shared" si="256"/>
        <v>1.9370439105425001</v>
      </c>
      <c r="H78" s="29">
        <f t="shared" si="257"/>
        <v>1.9620485608315004</v>
      </c>
      <c r="I78" s="29">
        <f t="shared" si="258"/>
        <v>1.9182520043846656</v>
      </c>
      <c r="J78" s="125">
        <f t="shared" si="259"/>
        <v>1.9324523882164548</v>
      </c>
      <c r="K78" s="126">
        <f t="shared" si="307"/>
        <v>3.3290845976793652E-2</v>
      </c>
      <c r="L78" s="126">
        <f t="shared" si="308"/>
        <v>1.7227252883326785</v>
      </c>
      <c r="N78" s="138">
        <f t="shared" si="309"/>
        <v>405.81500152545556</v>
      </c>
      <c r="O78" s="138">
        <f t="shared" si="310"/>
        <v>325.79239999999999</v>
      </c>
      <c r="P78" s="138">
        <f t="shared" si="311"/>
        <v>302.99211232996913</v>
      </c>
      <c r="Q78" s="138">
        <f t="shared" si="312"/>
        <v>421.97739173731441</v>
      </c>
      <c r="R78" s="138">
        <f t="shared" si="313"/>
        <v>405.81500152545556</v>
      </c>
      <c r="S78" s="138">
        <f t="shared" si="314"/>
        <v>307.84679999999997</v>
      </c>
      <c r="T78" s="138">
        <f t="shared" si="315"/>
        <v>361.70645118636571</v>
      </c>
      <c r="U78" s="138">
        <f t="shared" si="316"/>
        <v>55.06681284913072</v>
      </c>
      <c r="V78" s="138">
        <f t="shared" si="317"/>
        <v>15.224172161850131</v>
      </c>
      <c r="X78" s="227">
        <f t="shared" si="318"/>
        <v>0.44395750360000003</v>
      </c>
      <c r="Y78" s="227">
        <f t="shared" si="319"/>
        <v>0.47</v>
      </c>
      <c r="Z78" s="227">
        <f t="shared" si="320"/>
        <v>0.44395750360000003</v>
      </c>
      <c r="AA78" s="227">
        <f t="shared" si="321"/>
        <v>0.4526383357333334</v>
      </c>
      <c r="AB78" s="227">
        <f t="shared" si="322"/>
        <v>1.5035642306909831E-2</v>
      </c>
      <c r="AC78" s="227">
        <f t="shared" si="323"/>
        <v>3.3217783647401675</v>
      </c>
      <c r="AE78" s="228">
        <f t="shared" si="324"/>
        <v>4.2911792413007994</v>
      </c>
      <c r="AF78" s="228">
        <f t="shared" si="325"/>
        <v>5.2850000000000001</v>
      </c>
      <c r="AG78" s="228">
        <f t="shared" si="326"/>
        <v>4.2911792413007994</v>
      </c>
      <c r="AH78" s="228">
        <f t="shared" si="327"/>
        <v>7.1272221338039827</v>
      </c>
      <c r="AI78" s="228">
        <f t="shared" si="328"/>
        <v>5.2850000000000001</v>
      </c>
      <c r="AJ78" s="228">
        <f t="shared" si="329"/>
        <v>6.0484931793741419</v>
      </c>
      <c r="AK78" s="228">
        <f t="shared" si="330"/>
        <v>5.3066664648686741</v>
      </c>
      <c r="AL78" s="228">
        <f t="shared" si="331"/>
        <v>5.3763914658069138</v>
      </c>
      <c r="AM78" s="228">
        <f t="shared" si="332"/>
        <v>0.99113287551960771</v>
      </c>
      <c r="AN78" s="228">
        <f t="shared" si="333"/>
        <v>18.434909024446451</v>
      </c>
      <c r="AP78" s="229">
        <f t="shared" si="192"/>
        <v>1.4261725646733705</v>
      </c>
      <c r="AQ78" s="229">
        <f t="shared" si="193"/>
        <v>1.4</v>
      </c>
      <c r="AR78" s="229">
        <f t="shared" si="194"/>
        <v>1.47</v>
      </c>
      <c r="AS78" s="229">
        <f t="shared" si="195"/>
        <v>1.2778907309761978</v>
      </c>
      <c r="AT78" s="229">
        <f t="shared" si="196"/>
        <v>1.4261725646733705</v>
      </c>
      <c r="AU78" s="229">
        <f t="shared" si="197"/>
        <v>1.3896584434365509</v>
      </c>
      <c r="AV78" s="229">
        <f t="shared" si="198"/>
        <v>1.4</v>
      </c>
      <c r="AW78" s="229">
        <f t="shared" si="199"/>
        <v>1.449999999999992</v>
      </c>
      <c r="AX78" s="229">
        <f t="shared" si="200"/>
        <v>1.3499138573688749</v>
      </c>
      <c r="AY78" s="229">
        <f t="shared" si="334"/>
        <v>1.3988675734587064</v>
      </c>
      <c r="AZ78" s="229">
        <f t="shared" si="335"/>
        <v>5.7320053026479752E-2</v>
      </c>
      <c r="BA78" s="229">
        <f t="shared" si="336"/>
        <v>4.0976039558023114</v>
      </c>
      <c r="BC78" s="230">
        <f t="shared" si="337"/>
        <v>9.65</v>
      </c>
      <c r="BD78" s="230">
        <f t="shared" si="338"/>
        <v>11.73</v>
      </c>
      <c r="BE78" s="230">
        <f t="shared" si="339"/>
        <v>9.65</v>
      </c>
      <c r="BF78" s="230">
        <f t="shared" si="340"/>
        <v>8.7675076923076922</v>
      </c>
      <c r="BG78" s="230">
        <f t="shared" ref="BG78:BG84" si="436">AVERAGE(BC78:BF78)</f>
        <v>9.9493769230769225</v>
      </c>
      <c r="BH78" s="230">
        <f t="shared" ref="BH78:BH84" si="437">STDEV(BC78:BF78)</f>
        <v>1.2578667794924479</v>
      </c>
      <c r="BI78" s="230">
        <f t="shared" si="343"/>
        <v>12.642668874820783</v>
      </c>
      <c r="BK78" s="227">
        <f t="shared" si="260"/>
        <v>19.600000000000001</v>
      </c>
      <c r="BL78" s="227">
        <f t="shared" si="261"/>
        <v>31.73</v>
      </c>
      <c r="BM78" s="227">
        <f t="shared" si="262"/>
        <v>39.321043796975353</v>
      </c>
      <c r="BN78" s="227">
        <f t="shared" si="263"/>
        <v>22.795530421657382</v>
      </c>
      <c r="BO78" s="227">
        <f t="shared" si="264"/>
        <v>19.600000000000001</v>
      </c>
      <c r="BP78" s="227">
        <f t="shared" si="265"/>
        <v>21.710255209690526</v>
      </c>
      <c r="BQ78" s="227">
        <f t="shared" si="266"/>
        <v>31.86</v>
      </c>
      <c r="BR78" s="227">
        <f t="shared" si="344"/>
        <v>26.659547061189041</v>
      </c>
      <c r="BS78" s="227">
        <f t="shared" si="345"/>
        <v>7.6612469307546398</v>
      </c>
      <c r="BT78" s="227">
        <f t="shared" si="267"/>
        <v>28.737348437205373</v>
      </c>
      <c r="BV78" s="231">
        <f t="shared" si="346"/>
        <v>0.26</v>
      </c>
      <c r="BW78" s="231">
        <f t="shared" si="347"/>
        <v>0.29822367859380911</v>
      </c>
      <c r="BX78" s="231">
        <f t="shared" si="348"/>
        <v>0.32160819675013319</v>
      </c>
      <c r="BY78" s="231">
        <f t="shared" si="349"/>
        <v>0.26</v>
      </c>
      <c r="BZ78" s="231">
        <f t="shared" si="350"/>
        <v>0.3338196244838062</v>
      </c>
      <c r="CA78" s="231">
        <f t="shared" si="351"/>
        <v>0.29856680636652849</v>
      </c>
      <c r="CB78" s="231">
        <f t="shared" si="352"/>
        <v>0.48</v>
      </c>
      <c r="CC78" s="231">
        <f t="shared" si="353"/>
        <v>0.42300464726086329</v>
      </c>
      <c r="CD78" s="231">
        <f t="shared" si="354"/>
        <v>0.33440286918189255</v>
      </c>
      <c r="CE78" s="231">
        <f t="shared" si="355"/>
        <v>7.8264728885773377E-2</v>
      </c>
      <c r="CF78" s="231">
        <f t="shared" si="268"/>
        <v>23.404323377142632</v>
      </c>
      <c r="CH78" s="232">
        <f t="shared" si="356"/>
        <v>1.4311833086920478</v>
      </c>
      <c r="CI78" s="232">
        <f t="shared" si="357"/>
        <v>1.52</v>
      </c>
      <c r="CJ78" s="232">
        <f t="shared" si="358"/>
        <v>2.1</v>
      </c>
      <c r="CK78" s="232">
        <f t="shared" si="359"/>
        <v>1.9631772824415306</v>
      </c>
      <c r="CL78" s="232">
        <f t="shared" si="360"/>
        <v>1.757630330123237</v>
      </c>
      <c r="CM78" s="232">
        <f t="shared" si="361"/>
        <v>1.5213034225971476</v>
      </c>
      <c r="CN78" s="232">
        <f t="shared" si="362"/>
        <v>1.4339871791109304</v>
      </c>
      <c r="CO78" s="232">
        <f t="shared" si="363"/>
        <v>1.8651525695979667</v>
      </c>
      <c r="CP78" s="232">
        <f t="shared" si="364"/>
        <v>1.52</v>
      </c>
      <c r="CQ78" s="232">
        <f t="shared" si="365"/>
        <v>1.4373192694908212</v>
      </c>
      <c r="CR78" s="232">
        <f t="shared" si="366"/>
        <v>1.6549753362053683</v>
      </c>
      <c r="CS78" s="232">
        <f t="shared" si="367"/>
        <v>0.24683453118086146</v>
      </c>
      <c r="CT78" s="232">
        <f t="shared" si="269"/>
        <v>14.914695450798634</v>
      </c>
      <c r="CV78" s="229">
        <f t="shared" si="270"/>
        <v>0.83</v>
      </c>
      <c r="CW78" s="229">
        <f t="shared" si="271"/>
        <v>1.19</v>
      </c>
      <c r="CX78" s="229">
        <f t="shared" si="272"/>
        <v>0.79615758918961232</v>
      </c>
      <c r="CY78" s="229">
        <f t="shared" si="273"/>
        <v>0.48889574205597974</v>
      </c>
      <c r="CZ78" s="229">
        <f t="shared" si="274"/>
        <v>1.1909110328349961</v>
      </c>
      <c r="DA78" s="229">
        <f t="shared" si="275"/>
        <v>0.83</v>
      </c>
      <c r="DB78" s="229">
        <f t="shared" si="276"/>
        <v>0.54046982417535039</v>
      </c>
      <c r="DC78" s="229">
        <f t="shared" si="277"/>
        <v>0.89</v>
      </c>
      <c r="DD78" s="229">
        <f t="shared" si="278"/>
        <v>0.84455427353199219</v>
      </c>
      <c r="DE78" s="229">
        <f t="shared" si="279"/>
        <v>0.25720678308866179</v>
      </c>
      <c r="DF78" s="229">
        <f t="shared" si="280"/>
        <v>30.454737031049866</v>
      </c>
      <c r="DH78" s="234">
        <f t="shared" si="368"/>
        <v>0.10951999999999999</v>
      </c>
      <c r="DI78" s="234">
        <f t="shared" si="369"/>
        <v>0.14799999999999999</v>
      </c>
      <c r="DJ78" s="234">
        <f t="shared" si="370"/>
        <v>0.10730772446442621</v>
      </c>
      <c r="DK78" s="234">
        <f t="shared" si="281"/>
        <v>0.12160924148814206</v>
      </c>
      <c r="DL78" s="234">
        <f t="shared" si="282"/>
        <v>2.2881819024822374E-2</v>
      </c>
      <c r="DM78" s="234">
        <f t="shared" si="283"/>
        <v>18.815855394553669</v>
      </c>
      <c r="DO78" s="229">
        <f t="shared" si="371"/>
        <v>2.38</v>
      </c>
      <c r="DP78" s="229">
        <f t="shared" si="372"/>
        <v>3.49</v>
      </c>
      <c r="DQ78" s="229">
        <f t="shared" si="373"/>
        <v>3.7007919899584225</v>
      </c>
      <c r="DR78" s="229">
        <f t="shared" si="374"/>
        <v>2.8986785823246817</v>
      </c>
      <c r="DS78" s="229">
        <f t="shared" si="375"/>
        <v>2.6524406475042239</v>
      </c>
      <c r="DT78" s="229">
        <f t="shared" si="376"/>
        <v>2.38</v>
      </c>
      <c r="DU78" s="229">
        <f t="shared" si="377"/>
        <v>3.3447999999999998</v>
      </c>
      <c r="DV78" s="229">
        <f t="shared" si="378"/>
        <v>3.0940194940094967</v>
      </c>
      <c r="DW78" s="229">
        <f t="shared" si="284"/>
        <v>2.9925913392246031</v>
      </c>
      <c r="DX78" s="229">
        <f t="shared" si="285"/>
        <v>0.50119294054924968</v>
      </c>
      <c r="DY78" s="229">
        <f t="shared" si="286"/>
        <v>16.747790918860026</v>
      </c>
      <c r="EA78" s="235">
        <f t="shared" si="379"/>
        <v>0.14000000000000001</v>
      </c>
      <c r="EB78" s="235">
        <f t="shared" si="380"/>
        <v>0.21279343178854687</v>
      </c>
      <c r="EC78" s="235">
        <f t="shared" si="381"/>
        <v>0.14000000000000001</v>
      </c>
      <c r="ED78" s="235">
        <f t="shared" si="382"/>
        <v>0.16690979864238761</v>
      </c>
      <c r="EE78" s="235">
        <f t="shared" si="383"/>
        <v>0.13370546287962451</v>
      </c>
      <c r="EF78" s="235">
        <f t="shared" si="384"/>
        <v>0.1586817386621118</v>
      </c>
      <c r="EG78" s="235">
        <f t="shared" si="385"/>
        <v>3.2854243922552408E-2</v>
      </c>
      <c r="EH78" s="235">
        <f t="shared" si="287"/>
        <v>20.704489501788505</v>
      </c>
      <c r="EJ78" s="229">
        <f t="shared" si="386"/>
        <v>7.5426305676856105</v>
      </c>
      <c r="EK78" s="229">
        <f t="shared" si="387"/>
        <v>17.762110036305589</v>
      </c>
      <c r="EL78" s="229">
        <f t="shared" si="388"/>
        <v>6.91</v>
      </c>
      <c r="EM78" s="229">
        <f t="shared" si="389"/>
        <v>14.4</v>
      </c>
      <c r="EN78" s="229">
        <f t="shared" si="390"/>
        <v>22.628370474464568</v>
      </c>
      <c r="EO78" s="229">
        <f t="shared" si="391"/>
        <v>24.666833266727476</v>
      </c>
      <c r="EP78" s="229">
        <f t="shared" si="392"/>
        <v>20.345013028119848</v>
      </c>
      <c r="EQ78" s="229">
        <f t="shared" si="393"/>
        <v>16.32213676761473</v>
      </c>
      <c r="ER78" s="229">
        <f t="shared" si="394"/>
        <v>7.0358872580730543</v>
      </c>
      <c r="ES78" s="229">
        <f t="shared" si="288"/>
        <v>43.106410381471512</v>
      </c>
      <c r="EU78" s="238">
        <f t="shared" si="395"/>
        <v>1.5896171299275012E-2</v>
      </c>
      <c r="EV78" s="238">
        <f t="shared" si="396"/>
        <v>1.5896171299275012E-2</v>
      </c>
      <c r="EW78" s="238" t="e">
        <f t="shared" si="397"/>
        <v>#DIV/0!</v>
      </c>
      <c r="EX78" s="238" t="e">
        <f t="shared" si="289"/>
        <v>#DIV/0!</v>
      </c>
      <c r="EZ78" s="240">
        <f t="shared" si="398"/>
        <v>2.7182452921760272E-2</v>
      </c>
      <c r="FA78" s="240">
        <f t="shared" si="399"/>
        <v>2.7182452921760272E-2</v>
      </c>
      <c r="FB78" s="240" t="e">
        <f t="shared" si="400"/>
        <v>#DIV/0!</v>
      </c>
      <c r="FC78" s="240" t="e">
        <f t="shared" si="290"/>
        <v>#DIV/0!</v>
      </c>
      <c r="FE78" s="236">
        <f t="shared" si="401"/>
        <v>0.9</v>
      </c>
      <c r="FF78" s="236">
        <f t="shared" si="402"/>
        <v>1.2</v>
      </c>
      <c r="FG78" s="236">
        <f t="shared" si="403"/>
        <v>1.295604842604215</v>
      </c>
      <c r="FH78" s="236">
        <f t="shared" si="404"/>
        <v>1.3114341321901886</v>
      </c>
      <c r="FI78" s="236">
        <f t="shared" si="405"/>
        <v>0.9</v>
      </c>
      <c r="FJ78" s="236">
        <f t="shared" si="406"/>
        <v>1.1127319909492508</v>
      </c>
      <c r="FK78" s="236">
        <f t="shared" si="291"/>
        <v>1.1199618276239425</v>
      </c>
      <c r="FL78" s="236">
        <f t="shared" si="292"/>
        <v>0.18479009872081267</v>
      </c>
      <c r="FM78" s="236">
        <f t="shared" si="293"/>
        <v>16.499678307148606</v>
      </c>
      <c r="FO78" s="227">
        <f t="shared" si="407"/>
        <v>0.3</v>
      </c>
      <c r="FP78" s="227">
        <f t="shared" si="408"/>
        <v>0.32</v>
      </c>
      <c r="FQ78" s="227">
        <f t="shared" si="409"/>
        <v>0.33744464506912186</v>
      </c>
      <c r="FR78" s="227">
        <f t="shared" si="410"/>
        <v>0.3</v>
      </c>
      <c r="FS78" s="227">
        <f t="shared" si="411"/>
        <v>0.35766385423368774</v>
      </c>
      <c r="FT78" s="227">
        <f t="shared" si="294"/>
        <v>0.32302169986056189</v>
      </c>
      <c r="FU78" s="227">
        <f t="shared" si="295"/>
        <v>2.4885880570554044E-2</v>
      </c>
      <c r="FV78" s="227">
        <f t="shared" si="296"/>
        <v>7.7040894098744692</v>
      </c>
      <c r="FX78" s="230">
        <f t="shared" si="412"/>
        <v>2.94</v>
      </c>
      <c r="FY78" s="230">
        <f t="shared" si="413"/>
        <v>1.6690979864238762</v>
      </c>
      <c r="FZ78" s="230">
        <f t="shared" si="414"/>
        <v>2.94</v>
      </c>
      <c r="GA78" s="230">
        <f t="shared" si="415"/>
        <v>3.973319158361603</v>
      </c>
      <c r="GB78" s="230">
        <f t="shared" si="297"/>
        <v>2.8806042861963697</v>
      </c>
      <c r="GC78" s="230">
        <f t="shared" si="298"/>
        <v>0.9431912156567217</v>
      </c>
      <c r="GD78" s="230">
        <f t="shared" si="299"/>
        <v>32.742824836317162</v>
      </c>
      <c r="GF78" s="231">
        <f t="shared" si="416"/>
        <v>0.06</v>
      </c>
      <c r="GG78" s="231">
        <f t="shared" si="417"/>
        <v>0.05</v>
      </c>
      <c r="GH78" s="231">
        <f t="shared" si="418"/>
        <v>0.06</v>
      </c>
      <c r="GI78" s="231">
        <f t="shared" si="419"/>
        <v>6.3584685197100047E-2</v>
      </c>
      <c r="GJ78" s="245">
        <f t="shared" si="432"/>
        <v>5.8396171299275004E-2</v>
      </c>
      <c r="GK78" s="231">
        <f t="shared" si="433"/>
        <v>5.8469622300026105E-3</v>
      </c>
      <c r="GL78" s="231">
        <f t="shared" si="300"/>
        <v>10.012578050772314</v>
      </c>
      <c r="GN78" s="246">
        <f t="shared" si="420"/>
        <v>0.18</v>
      </c>
      <c r="GO78" s="246">
        <f t="shared" si="421"/>
        <v>0.18</v>
      </c>
      <c r="GP78" s="246">
        <f t="shared" si="422"/>
        <v>0.16690979864238761</v>
      </c>
      <c r="GQ78" s="247">
        <f t="shared" si="434"/>
        <v>0.17563659954746255</v>
      </c>
      <c r="GR78" s="246">
        <f t="shared" ref="GR78:GR84" si="438">STDEV(GM78:GP78)</f>
        <v>7.5576312775639115E-3</v>
      </c>
      <c r="GS78" s="246">
        <f t="shared" si="301"/>
        <v>4.302993394905485</v>
      </c>
      <c r="GU78" s="249">
        <f t="shared" si="423"/>
        <v>2.1777754680006763E-2</v>
      </c>
      <c r="GV78" s="249">
        <f t="shared" si="424"/>
        <v>2.1777754680006763E-2</v>
      </c>
      <c r="GW78" s="249" t="e">
        <f t="shared" si="425"/>
        <v>#DIV/0!</v>
      </c>
      <c r="GX78" s="249" t="e">
        <f t="shared" si="302"/>
        <v>#DIV/0!</v>
      </c>
      <c r="GZ78" s="240">
        <f t="shared" si="426"/>
        <v>2.3844256948912519E-2</v>
      </c>
      <c r="HA78" s="240">
        <f t="shared" si="427"/>
        <v>2.3844256948912519E-2</v>
      </c>
      <c r="HB78" s="240" t="e">
        <f t="shared" si="428"/>
        <v>#DIV/0!</v>
      </c>
      <c r="HC78" s="240" t="e">
        <f t="shared" si="303"/>
        <v>#DIV/0!</v>
      </c>
      <c r="HE78" s="234">
        <f t="shared" si="429"/>
        <v>9.4152019230686293E-2</v>
      </c>
      <c r="HF78" s="251">
        <f t="shared" si="430"/>
        <v>9.4152019230686293E-2</v>
      </c>
      <c r="HG78" s="234" t="e">
        <f t="shared" si="431"/>
        <v>#DIV/0!</v>
      </c>
      <c r="HH78" s="234" t="e">
        <f t="shared" si="304"/>
        <v>#DIV/0!</v>
      </c>
    </row>
    <row r="79" spans="2:216" ht="15.6" x14ac:dyDescent="0.25">
      <c r="B79">
        <v>75</v>
      </c>
      <c r="C79" s="124">
        <f t="shared" si="305"/>
        <v>78.507863858016208</v>
      </c>
      <c r="D79" s="124">
        <f t="shared" si="306"/>
        <v>166.59047699999928</v>
      </c>
      <c r="E79" s="29">
        <f t="shared" si="254"/>
        <v>1.9491425780582183</v>
      </c>
      <c r="F79" s="29">
        <f t="shared" si="255"/>
        <v>1.872409308190262</v>
      </c>
      <c r="G79" s="29">
        <f t="shared" si="256"/>
        <v>1.9244191369373842</v>
      </c>
      <c r="H79" s="29">
        <f t="shared" si="257"/>
        <v>1.9491425780582183</v>
      </c>
      <c r="I79" s="29">
        <f t="shared" si="258"/>
        <v>1.9060330013726534</v>
      </c>
      <c r="J79" s="125">
        <f t="shared" si="259"/>
        <v>1.9202293205233474</v>
      </c>
      <c r="K79" s="126">
        <f t="shared" si="307"/>
        <v>3.2317938289376062E-2</v>
      </c>
      <c r="L79" s="126">
        <f t="shared" si="308"/>
        <v>1.6830249358221441</v>
      </c>
      <c r="N79" s="138">
        <f t="shared" si="309"/>
        <v>403.24815730990292</v>
      </c>
      <c r="O79" s="138">
        <f t="shared" si="310"/>
        <v>325.79239999999999</v>
      </c>
      <c r="P79" s="138">
        <f t="shared" si="311"/>
        <v>298.76851424166557</v>
      </c>
      <c r="Q79" s="138">
        <f t="shared" si="312"/>
        <v>418.04096524780908</v>
      </c>
      <c r="R79" s="138">
        <f t="shared" si="313"/>
        <v>403.24815730990292</v>
      </c>
      <c r="S79" s="138">
        <f t="shared" si="314"/>
        <v>303.48750000000001</v>
      </c>
      <c r="T79" s="138">
        <f t="shared" si="315"/>
        <v>358.7642823515468</v>
      </c>
      <c r="U79" s="138">
        <f t="shared" si="316"/>
        <v>55.160702101848379</v>
      </c>
      <c r="V79" s="138">
        <f t="shared" si="317"/>
        <v>15.375193355451527</v>
      </c>
      <c r="X79" s="227">
        <f t="shared" si="318"/>
        <v>0.44521303125000011</v>
      </c>
      <c r="Y79" s="227">
        <f t="shared" si="319"/>
        <v>0.47</v>
      </c>
      <c r="Z79" s="227">
        <f t="shared" si="320"/>
        <v>0.44521303125000011</v>
      </c>
      <c r="AA79" s="227">
        <f t="shared" si="321"/>
        <v>0.45347535416666673</v>
      </c>
      <c r="AB79" s="227">
        <f t="shared" si="322"/>
        <v>1.4310763080207262E-2</v>
      </c>
      <c r="AC79" s="227">
        <f t="shared" si="323"/>
        <v>3.1557973214455215</v>
      </c>
      <c r="AE79" s="228">
        <f t="shared" si="324"/>
        <v>4.2584074359246404</v>
      </c>
      <c r="AF79" s="228">
        <f t="shared" si="325"/>
        <v>5.2850000000000001</v>
      </c>
      <c r="AG79" s="228">
        <f t="shared" si="326"/>
        <v>4.2584074359246404</v>
      </c>
      <c r="AH79" s="228">
        <f t="shared" si="327"/>
        <v>7.0399984848822514</v>
      </c>
      <c r="AI79" s="228">
        <f t="shared" si="328"/>
        <v>5.2850000000000001</v>
      </c>
      <c r="AJ79" s="228">
        <f t="shared" si="329"/>
        <v>5.9744484395950339</v>
      </c>
      <c r="AK79" s="228">
        <f t="shared" si="330"/>
        <v>5.2682675823988179</v>
      </c>
      <c r="AL79" s="228">
        <f t="shared" si="331"/>
        <v>5.3385041969607698</v>
      </c>
      <c r="AM79" s="228">
        <f t="shared" si="332"/>
        <v>0.96982683146533044</v>
      </c>
      <c r="AN79" s="228">
        <f t="shared" si="333"/>
        <v>18.166639861732364</v>
      </c>
      <c r="AP79" s="229">
        <f t="shared" si="192"/>
        <v>1.4264204545454544</v>
      </c>
      <c r="AQ79" s="229">
        <f t="shared" si="193"/>
        <v>1.4</v>
      </c>
      <c r="AR79" s="229">
        <f t="shared" si="194"/>
        <v>1.47</v>
      </c>
      <c r="AS79" s="229">
        <f t="shared" si="195"/>
        <v>1.2788207083308487</v>
      </c>
      <c r="AT79" s="229">
        <f t="shared" si="196"/>
        <v>1.4264204545454544</v>
      </c>
      <c r="AU79" s="229">
        <f t="shared" si="197"/>
        <v>1.4212894200143276</v>
      </c>
      <c r="AV79" s="229">
        <f t="shared" si="198"/>
        <v>1.4</v>
      </c>
      <c r="AW79" s="229">
        <f t="shared" si="199"/>
        <v>1.4499999999999948</v>
      </c>
      <c r="AX79" s="229">
        <f t="shared" si="200"/>
        <v>1.347769435489186</v>
      </c>
      <c r="AY79" s="229">
        <f t="shared" si="334"/>
        <v>1.402302274769474</v>
      </c>
      <c r="AZ79" s="229">
        <f t="shared" si="335"/>
        <v>5.7678059756127054E-2</v>
      </c>
      <c r="BA79" s="229">
        <f t="shared" si="336"/>
        <v>4.1130974964444675</v>
      </c>
      <c r="BC79" s="230">
        <f t="shared" si="337"/>
        <v>9.65</v>
      </c>
      <c r="BD79" s="230">
        <f t="shared" si="338"/>
        <v>11.73</v>
      </c>
      <c r="BE79" s="230">
        <f t="shared" si="339"/>
        <v>9.65</v>
      </c>
      <c r="BF79" s="230">
        <f t="shared" si="340"/>
        <v>8.7616615384615386</v>
      </c>
      <c r="BG79" s="230">
        <f t="shared" si="436"/>
        <v>9.9479153846153849</v>
      </c>
      <c r="BH79" s="230">
        <f t="shared" si="437"/>
        <v>1.2596998209476098</v>
      </c>
      <c r="BI79" s="230">
        <f t="shared" si="343"/>
        <v>12.66295271163802</v>
      </c>
      <c r="BK79" s="227">
        <f t="shared" si="260"/>
        <v>19.600000000000001</v>
      </c>
      <c r="BL79" s="227">
        <f t="shared" si="261"/>
        <v>31.73</v>
      </c>
      <c r="BM79" s="227">
        <f t="shared" si="262"/>
        <v>39.054654556512524</v>
      </c>
      <c r="BN79" s="227">
        <f t="shared" si="263"/>
        <v>22.702858304558109</v>
      </c>
      <c r="BO79" s="227">
        <f t="shared" si="264"/>
        <v>19.600000000000001</v>
      </c>
      <c r="BP79" s="227">
        <f t="shared" si="265"/>
        <v>21.048318523290813</v>
      </c>
      <c r="BQ79" s="227">
        <f t="shared" si="266"/>
        <v>31.86</v>
      </c>
      <c r="BR79" s="227">
        <f t="shared" si="344"/>
        <v>26.513690197765918</v>
      </c>
      <c r="BS79" s="227">
        <f t="shared" si="345"/>
        <v>7.6709370903160146</v>
      </c>
      <c r="BT79" s="227">
        <f t="shared" si="267"/>
        <v>28.931985827315653</v>
      </c>
      <c r="BV79" s="231">
        <f t="shared" si="346"/>
        <v>0.26</v>
      </c>
      <c r="BW79" s="231">
        <f t="shared" si="347"/>
        <v>0.29432103136691479</v>
      </c>
      <c r="BX79" s="231">
        <f t="shared" si="348"/>
        <v>0.31876267758695187</v>
      </c>
      <c r="BY79" s="231">
        <f t="shared" si="349"/>
        <v>0.26</v>
      </c>
      <c r="BZ79" s="231">
        <f t="shared" si="350"/>
        <v>0.32973304980735407</v>
      </c>
      <c r="CA79" s="231">
        <f t="shared" si="351"/>
        <v>0.29672557835773616</v>
      </c>
      <c r="CB79" s="231">
        <f t="shared" si="352"/>
        <v>0.48</v>
      </c>
      <c r="CC79" s="231">
        <f t="shared" si="353"/>
        <v>0.42267935831565751</v>
      </c>
      <c r="CD79" s="231">
        <f t="shared" si="354"/>
        <v>0.33277771192932681</v>
      </c>
      <c r="CE79" s="231">
        <f t="shared" si="355"/>
        <v>7.8680422873683362E-2</v>
      </c>
      <c r="CF79" s="231">
        <f t="shared" si="268"/>
        <v>23.643537428490102</v>
      </c>
      <c r="CH79" s="232">
        <f t="shared" si="356"/>
        <v>1.4203302770280988</v>
      </c>
      <c r="CI79" s="232">
        <f t="shared" si="357"/>
        <v>1.52</v>
      </c>
      <c r="CJ79" s="232">
        <f t="shared" si="358"/>
        <v>2.1</v>
      </c>
      <c r="CK79" s="232">
        <f t="shared" si="359"/>
        <v>1.9391443381517073</v>
      </c>
      <c r="CL79" s="232">
        <f t="shared" si="360"/>
        <v>1.7274130206056364</v>
      </c>
      <c r="CM79" s="232">
        <f t="shared" si="361"/>
        <v>1.5067573812602721</v>
      </c>
      <c r="CN79" s="232">
        <f t="shared" si="362"/>
        <v>1.4231128849753938</v>
      </c>
      <c r="CO79" s="232">
        <f t="shared" si="363"/>
        <v>1.8433233598062906</v>
      </c>
      <c r="CP79" s="232">
        <f t="shared" si="364"/>
        <v>1.52</v>
      </c>
      <c r="CQ79" s="232">
        <f t="shared" si="365"/>
        <v>1.4286480477612762</v>
      </c>
      <c r="CR79" s="232">
        <f t="shared" si="366"/>
        <v>1.6428729309588674</v>
      </c>
      <c r="CS79" s="232">
        <f t="shared" si="367"/>
        <v>0.24415484011348723</v>
      </c>
      <c r="CT79" s="232">
        <f t="shared" si="269"/>
        <v>14.861456142623616</v>
      </c>
      <c r="CV79" s="229">
        <f t="shared" si="270"/>
        <v>0.83</v>
      </c>
      <c r="CW79" s="229">
        <f t="shared" si="271"/>
        <v>1.19</v>
      </c>
      <c r="CX79" s="229">
        <f t="shared" si="272"/>
        <v>0.78727892252417397</v>
      </c>
      <c r="CY79" s="229">
        <f t="shared" si="273"/>
        <v>0.48855547255530518</v>
      </c>
      <c r="CZ79" s="229">
        <f t="shared" si="274"/>
        <v>1.1798077144756309</v>
      </c>
      <c r="DA79" s="229">
        <f t="shared" si="275"/>
        <v>0.83</v>
      </c>
      <c r="DB79" s="229">
        <f t="shared" si="276"/>
        <v>0.53385347423451013</v>
      </c>
      <c r="DC79" s="229">
        <f t="shared" si="277"/>
        <v>0.89</v>
      </c>
      <c r="DD79" s="229">
        <f t="shared" si="278"/>
        <v>0.84118694797370253</v>
      </c>
      <c r="DE79" s="229">
        <f t="shared" si="279"/>
        <v>0.25653640097391084</v>
      </c>
      <c r="DF79" s="229">
        <f t="shared" si="280"/>
        <v>30.496954522638497</v>
      </c>
      <c r="DH79" s="234">
        <f t="shared" si="368"/>
        <v>0.111</v>
      </c>
      <c r="DI79" s="234">
        <f t="shared" si="369"/>
        <v>0.15</v>
      </c>
      <c r="DJ79" s="234">
        <f t="shared" si="370"/>
        <v>0.10659451476952676</v>
      </c>
      <c r="DK79" s="234">
        <f t="shared" si="281"/>
        <v>0.12253150492317559</v>
      </c>
      <c r="DL79" s="234">
        <f t="shared" si="282"/>
        <v>2.3890180856747888E-2</v>
      </c>
      <c r="DM79" s="234">
        <f t="shared" si="283"/>
        <v>19.497174111855131</v>
      </c>
      <c r="DO79" s="229">
        <f t="shared" si="371"/>
        <v>2.38</v>
      </c>
      <c r="DP79" s="229">
        <f t="shared" si="372"/>
        <v>3.49</v>
      </c>
      <c r="DQ79" s="229">
        <f t="shared" si="373"/>
        <v>3.6773354968788201</v>
      </c>
      <c r="DR79" s="229">
        <f t="shared" si="374"/>
        <v>2.8803439807850211</v>
      </c>
      <c r="DS79" s="229">
        <f t="shared" si="375"/>
        <v>2.6268754686803719</v>
      </c>
      <c r="DT79" s="229">
        <f t="shared" si="376"/>
        <v>2.38</v>
      </c>
      <c r="DU79" s="229">
        <f t="shared" si="377"/>
        <v>3.3899999999999997</v>
      </c>
      <c r="DV79" s="229">
        <f t="shared" si="378"/>
        <v>3.032614812208231</v>
      </c>
      <c r="DW79" s="229">
        <f t="shared" si="284"/>
        <v>2.9821462198190551</v>
      </c>
      <c r="DX79" s="229">
        <f t="shared" si="285"/>
        <v>0.50310983185729752</v>
      </c>
      <c r="DY79" s="229">
        <f t="shared" si="286"/>
        <v>16.870729829197451</v>
      </c>
      <c r="EA79" s="235">
        <f t="shared" si="379"/>
        <v>0.14000000000000001</v>
      </c>
      <c r="EB79" s="235">
        <f t="shared" si="380"/>
        <v>0.21061392552736372</v>
      </c>
      <c r="EC79" s="235">
        <f t="shared" si="381"/>
        <v>0.14000000000000001</v>
      </c>
      <c r="ED79" s="235">
        <f t="shared" si="382"/>
        <v>0.16486651410183403</v>
      </c>
      <c r="EE79" s="235">
        <f t="shared" si="383"/>
        <v>0.13289227526022657</v>
      </c>
      <c r="EF79" s="235">
        <f t="shared" si="384"/>
        <v>0.15767454297788489</v>
      </c>
      <c r="EG79" s="235">
        <f t="shared" si="385"/>
        <v>3.1989226333062795E-2</v>
      </c>
      <c r="EH79" s="235">
        <f t="shared" si="287"/>
        <v>20.288136390888123</v>
      </c>
      <c r="EJ79" s="229">
        <f t="shared" si="386"/>
        <v>7.5426305676856105</v>
      </c>
      <c r="EK79" s="229">
        <f t="shared" si="387"/>
        <v>17.407357935901114</v>
      </c>
      <c r="EL79" s="229">
        <f t="shared" si="388"/>
        <v>6.91</v>
      </c>
      <c r="EM79" s="229">
        <f t="shared" si="389"/>
        <v>14.4</v>
      </c>
      <c r="EN79" s="229">
        <f t="shared" si="390"/>
        <v>22.500906508530875</v>
      </c>
      <c r="EO79" s="229">
        <f t="shared" si="391"/>
        <v>24.185813848527388</v>
      </c>
      <c r="EP79" s="229">
        <f t="shared" si="392"/>
        <v>19.676878333699985</v>
      </c>
      <c r="EQ79" s="229">
        <f t="shared" si="393"/>
        <v>16.089083884906426</v>
      </c>
      <c r="ER79" s="229">
        <f t="shared" si="394"/>
        <v>6.8487111996926524</v>
      </c>
      <c r="ES79" s="229">
        <f t="shared" si="288"/>
        <v>42.567440437784029</v>
      </c>
      <c r="EU79" s="238">
        <f t="shared" si="395"/>
        <v>1.5701572771603244E-2</v>
      </c>
      <c r="EV79" s="238">
        <f t="shared" si="396"/>
        <v>1.5701572771603244E-2</v>
      </c>
      <c r="EW79" s="238" t="e">
        <f t="shared" si="397"/>
        <v>#DIV/0!</v>
      </c>
      <c r="EX79" s="238" t="e">
        <f t="shared" si="289"/>
        <v>#DIV/0!</v>
      </c>
      <c r="EZ79" s="240">
        <f t="shared" si="398"/>
        <v>2.6849689439441545E-2</v>
      </c>
      <c r="FA79" s="240">
        <f t="shared" si="399"/>
        <v>2.6849689439441545E-2</v>
      </c>
      <c r="FB79" s="240" t="e">
        <f t="shared" si="400"/>
        <v>#DIV/0!</v>
      </c>
      <c r="FC79" s="240" t="e">
        <f t="shared" si="290"/>
        <v>#DIV/0!</v>
      </c>
      <c r="FE79" s="236">
        <f t="shared" si="401"/>
        <v>0.9</v>
      </c>
      <c r="FF79" s="236">
        <f t="shared" si="402"/>
        <v>1.2</v>
      </c>
      <c r="FG79" s="236">
        <f t="shared" si="403"/>
        <v>1.2808817928250327</v>
      </c>
      <c r="FH79" s="236">
        <f t="shared" si="404"/>
        <v>1.2953797536572675</v>
      </c>
      <c r="FI79" s="236">
        <f t="shared" si="405"/>
        <v>0.9</v>
      </c>
      <c r="FJ79" s="236">
        <f t="shared" si="406"/>
        <v>1.0991100940122269</v>
      </c>
      <c r="FK79" s="236">
        <f t="shared" si="291"/>
        <v>1.1125619400824214</v>
      </c>
      <c r="FL79" s="236">
        <f t="shared" si="292"/>
        <v>0.17885494067295554</v>
      </c>
      <c r="FM79" s="236">
        <f t="shared" si="293"/>
        <v>16.07595354733288</v>
      </c>
      <c r="FO79" s="227">
        <f t="shared" si="407"/>
        <v>0.3</v>
      </c>
      <c r="FP79" s="227">
        <f t="shared" si="408"/>
        <v>0.32</v>
      </c>
      <c r="FQ79" s="227">
        <f t="shared" si="409"/>
        <v>0.33503305064968081</v>
      </c>
      <c r="FR79" s="227">
        <f t="shared" si="410"/>
        <v>0.3</v>
      </c>
      <c r="FS79" s="227">
        <f t="shared" si="411"/>
        <v>0.3532853873610729</v>
      </c>
      <c r="FT79" s="227">
        <f t="shared" si="294"/>
        <v>0.32166368760215069</v>
      </c>
      <c r="FU79" s="227">
        <f t="shared" si="295"/>
        <v>2.3022110792805198E-2</v>
      </c>
      <c r="FV79" s="227">
        <f t="shared" si="296"/>
        <v>7.1571991742133063</v>
      </c>
      <c r="FX79" s="230">
        <f t="shared" si="412"/>
        <v>2.94</v>
      </c>
      <c r="FY79" s="230">
        <f t="shared" si="413"/>
        <v>1.6486651410183404</v>
      </c>
      <c r="FZ79" s="230">
        <f t="shared" si="414"/>
        <v>2.94</v>
      </c>
      <c r="GA79" s="230">
        <f t="shared" si="415"/>
        <v>3.9247541234123369</v>
      </c>
      <c r="GB79" s="230">
        <f t="shared" si="297"/>
        <v>2.8633548161076692</v>
      </c>
      <c r="GC79" s="230">
        <f t="shared" si="298"/>
        <v>0.93341460326110004</v>
      </c>
      <c r="GD79" s="230">
        <f t="shared" si="299"/>
        <v>32.598635628746379</v>
      </c>
      <c r="GF79" s="231">
        <f t="shared" si="416"/>
        <v>0.06</v>
      </c>
      <c r="GG79" s="231">
        <f t="shared" si="417"/>
        <v>0.05</v>
      </c>
      <c r="GH79" s="231">
        <f t="shared" si="418"/>
        <v>0.06</v>
      </c>
      <c r="GI79" s="231">
        <f t="shared" si="419"/>
        <v>6.2806291086412974E-2</v>
      </c>
      <c r="GJ79" s="245">
        <f t="shared" si="432"/>
        <v>5.820157277160324E-2</v>
      </c>
      <c r="GK79" s="231">
        <f t="shared" si="433"/>
        <v>5.6254750222633192E-3</v>
      </c>
      <c r="GL79" s="231">
        <f t="shared" si="300"/>
        <v>9.6655034466835037</v>
      </c>
      <c r="GN79" s="246">
        <f t="shared" si="420"/>
        <v>0.18</v>
      </c>
      <c r="GO79" s="246">
        <f t="shared" si="421"/>
        <v>0.18</v>
      </c>
      <c r="GP79" s="246">
        <f t="shared" si="422"/>
        <v>0.16486651410183403</v>
      </c>
      <c r="GQ79" s="247">
        <f t="shared" si="434"/>
        <v>0.17495550470061136</v>
      </c>
      <c r="GR79" s="246">
        <f t="shared" si="438"/>
        <v>8.737322157083522E-3</v>
      </c>
      <c r="GS79" s="246">
        <f t="shared" si="301"/>
        <v>4.9940252934796572</v>
      </c>
      <c r="GU79" s="249">
        <f t="shared" si="423"/>
        <v>2.1511154697096441E-2</v>
      </c>
      <c r="GV79" s="249">
        <f t="shared" si="424"/>
        <v>2.1511154697096441E-2</v>
      </c>
      <c r="GW79" s="249" t="e">
        <f t="shared" si="425"/>
        <v>#DIV/0!</v>
      </c>
      <c r="GX79" s="249" t="e">
        <f t="shared" si="302"/>
        <v>#DIV/0!</v>
      </c>
      <c r="GZ79" s="240">
        <f t="shared" si="426"/>
        <v>2.3552359157404865E-2</v>
      </c>
      <c r="HA79" s="240">
        <f t="shared" si="427"/>
        <v>2.3552359157404865E-2</v>
      </c>
      <c r="HB79" s="240" t="e">
        <f t="shared" si="428"/>
        <v>#DIV/0!</v>
      </c>
      <c r="HC79" s="240" t="e">
        <f t="shared" si="303"/>
        <v>#DIV/0!</v>
      </c>
      <c r="HE79" s="234">
        <f t="shared" si="429"/>
        <v>9.2994157991039272E-2</v>
      </c>
      <c r="HF79" s="251">
        <f t="shared" si="430"/>
        <v>9.2994157991039272E-2</v>
      </c>
      <c r="HG79" s="234" t="e">
        <f t="shared" si="431"/>
        <v>#DIV/0!</v>
      </c>
      <c r="HH79" s="234" t="e">
        <f t="shared" si="304"/>
        <v>#DIV/0!</v>
      </c>
    </row>
    <row r="80" spans="2:216" ht="15.6" x14ac:dyDescent="0.25">
      <c r="B80">
        <v>76</v>
      </c>
      <c r="C80" s="124">
        <f t="shared" si="305"/>
        <v>77.44291094574146</v>
      </c>
      <c r="D80" s="124">
        <f t="shared" si="306"/>
        <v>166.81557236717072</v>
      </c>
      <c r="E80" s="29">
        <f t="shared" si="254"/>
        <v>1.9364466144864103</v>
      </c>
      <c r="F80" s="29">
        <f t="shared" si="255"/>
        <v>1.8633955786203036</v>
      </c>
      <c r="G80" s="29">
        <f t="shared" si="256"/>
        <v>1.9120199406204312</v>
      </c>
      <c r="H80" s="29">
        <f t="shared" si="257"/>
        <v>1.9364466144864103</v>
      </c>
      <c r="I80" s="29">
        <f t="shared" si="258"/>
        <v>1.8943397790958503</v>
      </c>
      <c r="J80" s="125">
        <f t="shared" si="259"/>
        <v>1.9085297054618811</v>
      </c>
      <c r="K80" s="126">
        <f t="shared" si="307"/>
        <v>3.0859896210351411E-2</v>
      </c>
      <c r="L80" s="126">
        <f t="shared" si="308"/>
        <v>1.6169460774980728</v>
      </c>
      <c r="N80" s="138">
        <f t="shared" si="309"/>
        <v>400.79123814699506</v>
      </c>
      <c r="O80" s="138">
        <f t="shared" si="310"/>
        <v>325.79239999999999</v>
      </c>
      <c r="P80" s="138">
        <f t="shared" si="311"/>
        <v>294.65729395847194</v>
      </c>
      <c r="Q80" s="138">
        <f t="shared" si="312"/>
        <v>413.71909863026826</v>
      </c>
      <c r="R80" s="138">
        <f t="shared" si="313"/>
        <v>400.79123814699506</v>
      </c>
      <c r="S80" s="138">
        <f t="shared" si="314"/>
        <v>299.02080000000001</v>
      </c>
      <c r="T80" s="138">
        <f t="shared" si="315"/>
        <v>355.7953448137884</v>
      </c>
      <c r="U80" s="138">
        <f t="shared" si="316"/>
        <v>55.255423242606803</v>
      </c>
      <c r="V80" s="138">
        <f t="shared" si="317"/>
        <v>15.530114164794842</v>
      </c>
      <c r="X80" s="227">
        <f t="shared" si="318"/>
        <v>0.44663150239999999</v>
      </c>
      <c r="Y80" s="227">
        <f t="shared" si="319"/>
        <v>0.47</v>
      </c>
      <c r="Z80" s="227">
        <f t="shared" si="320"/>
        <v>0.44663150239999999</v>
      </c>
      <c r="AA80" s="227">
        <f t="shared" si="321"/>
        <v>0.45442100160000004</v>
      </c>
      <c r="AB80" s="227">
        <f t="shared" si="322"/>
        <v>1.3491808379917113E-2</v>
      </c>
      <c r="AC80" s="227">
        <f t="shared" si="323"/>
        <v>2.9690107482737238</v>
      </c>
      <c r="AE80" s="228">
        <f t="shared" si="324"/>
        <v>4.2270797345447946</v>
      </c>
      <c r="AF80" s="228">
        <f t="shared" si="325"/>
        <v>5.2850000000000001</v>
      </c>
      <c r="AG80" s="228">
        <f t="shared" si="326"/>
        <v>4.2270797345447946</v>
      </c>
      <c r="AH80" s="228">
        <f t="shared" si="327"/>
        <v>6.9445303240280207</v>
      </c>
      <c r="AI80" s="228">
        <f t="shared" si="328"/>
        <v>5.2850000000000001</v>
      </c>
      <c r="AJ80" s="228">
        <f t="shared" si="329"/>
        <v>5.8934055229709248</v>
      </c>
      <c r="AK80" s="228">
        <f t="shared" si="330"/>
        <v>5.2315131313094945</v>
      </c>
      <c r="AL80" s="228">
        <f t="shared" si="331"/>
        <v>5.299086921056861</v>
      </c>
      <c r="AM80" s="228">
        <f t="shared" si="332"/>
        <v>0.94552106521395529</v>
      </c>
      <c r="AN80" s="228">
        <f t="shared" si="333"/>
        <v>17.843094089601735</v>
      </c>
      <c r="AP80" s="229">
        <f t="shared" si="192"/>
        <v>1.4266619307560009</v>
      </c>
      <c r="AQ80" s="229">
        <f t="shared" si="193"/>
        <v>1.4</v>
      </c>
      <c r="AR80" s="229">
        <f t="shared" si="194"/>
        <v>1.47</v>
      </c>
      <c r="AS80" s="229">
        <f t="shared" si="195"/>
        <v>1.282659036802857</v>
      </c>
      <c r="AT80" s="229">
        <f t="shared" si="196"/>
        <v>1.4266619307560009</v>
      </c>
      <c r="AU80" s="229">
        <f t="shared" si="197"/>
        <v>1.4552391033178851</v>
      </c>
      <c r="AV80" s="229">
        <f t="shared" si="198"/>
        <v>1.4</v>
      </c>
      <c r="AW80" s="229">
        <f t="shared" si="199"/>
        <v>1.4499999999999966</v>
      </c>
      <c r="AX80" s="229">
        <f t="shared" si="200"/>
        <v>1.3456284201566431</v>
      </c>
      <c r="AY80" s="229">
        <f t="shared" si="334"/>
        <v>1.4063167135321537</v>
      </c>
      <c r="AZ80" s="229">
        <f t="shared" si="335"/>
        <v>5.9412896483748985E-2</v>
      </c>
      <c r="BA80" s="229">
        <f t="shared" si="336"/>
        <v>4.2247166596296433</v>
      </c>
      <c r="BC80" s="230">
        <f t="shared" si="337"/>
        <v>9.65</v>
      </c>
      <c r="BD80" s="230">
        <f t="shared" si="338"/>
        <v>11.73</v>
      </c>
      <c r="BE80" s="230">
        <f t="shared" si="339"/>
        <v>9.65</v>
      </c>
      <c r="BF80" s="230">
        <f t="shared" si="340"/>
        <v>8.755815384615385</v>
      </c>
      <c r="BG80" s="230">
        <f t="shared" si="436"/>
        <v>9.9464538461538474</v>
      </c>
      <c r="BH80" s="230">
        <f t="shared" si="437"/>
        <v>1.2615369719503233</v>
      </c>
      <c r="BI80" s="230">
        <f t="shared" si="343"/>
        <v>12.683283826206479</v>
      </c>
      <c r="BK80" s="227">
        <f t="shared" si="260"/>
        <v>19.600000000000001</v>
      </c>
      <c r="BL80" s="227">
        <f t="shared" si="261"/>
        <v>31.73</v>
      </c>
      <c r="BM80" s="227">
        <f t="shared" si="262"/>
        <v>38.800826291184421</v>
      </c>
      <c r="BN80" s="227">
        <f t="shared" si="263"/>
        <v>22.597980501457183</v>
      </c>
      <c r="BO80" s="227">
        <f t="shared" si="264"/>
        <v>19.600000000000001</v>
      </c>
      <c r="BP80" s="227">
        <f t="shared" si="265"/>
        <v>20.364225961874475</v>
      </c>
      <c r="BQ80" s="227">
        <f t="shared" si="266"/>
        <v>31.86</v>
      </c>
      <c r="BR80" s="227">
        <f t="shared" si="344"/>
        <v>26.364718964930869</v>
      </c>
      <c r="BS80" s="227">
        <f t="shared" si="345"/>
        <v>7.695866855556206</v>
      </c>
      <c r="BT80" s="227">
        <f t="shared" si="267"/>
        <v>29.190020442823201</v>
      </c>
      <c r="BV80" s="231">
        <f t="shared" si="346"/>
        <v>0.26</v>
      </c>
      <c r="BW80" s="231">
        <f t="shared" si="347"/>
        <v>0.2900964312210409</v>
      </c>
      <c r="BX80" s="231">
        <f t="shared" si="348"/>
        <v>0.3156731762807623</v>
      </c>
      <c r="BY80" s="231">
        <f t="shared" si="349"/>
        <v>0.26</v>
      </c>
      <c r="BZ80" s="231">
        <f t="shared" si="350"/>
        <v>0.32526024310853685</v>
      </c>
      <c r="CA80" s="231">
        <f t="shared" si="351"/>
        <v>0.29523566355413483</v>
      </c>
      <c r="CB80" s="231">
        <f t="shared" si="352"/>
        <v>0.48</v>
      </c>
      <c r="CC80" s="231">
        <f t="shared" si="353"/>
        <v>0.42362774830891614</v>
      </c>
      <c r="CD80" s="231">
        <f t="shared" si="354"/>
        <v>0.33123665780917388</v>
      </c>
      <c r="CE80" s="231">
        <f t="shared" si="355"/>
        <v>7.9356787211926211E-2</v>
      </c>
      <c r="CF80" s="231">
        <f t="shared" si="268"/>
        <v>23.957730927729568</v>
      </c>
      <c r="CH80" s="232">
        <f t="shared" si="356"/>
        <v>1.4099420262300024</v>
      </c>
      <c r="CI80" s="232">
        <f t="shared" si="357"/>
        <v>1.52</v>
      </c>
      <c r="CJ80" s="232">
        <f t="shared" si="358"/>
        <v>2.1</v>
      </c>
      <c r="CK80" s="232">
        <f t="shared" si="359"/>
        <v>1.9128399803627099</v>
      </c>
      <c r="CL80" s="232">
        <f t="shared" si="360"/>
        <v>1.6947625250044678</v>
      </c>
      <c r="CM80" s="232">
        <f t="shared" si="361"/>
        <v>1.4907910065475789</v>
      </c>
      <c r="CN80" s="232">
        <f t="shared" si="362"/>
        <v>1.4127042822706342</v>
      </c>
      <c r="CO80" s="232">
        <f t="shared" si="363"/>
        <v>1.8193326287567022</v>
      </c>
      <c r="CP80" s="232">
        <f t="shared" si="364"/>
        <v>1.52</v>
      </c>
      <c r="CQ80" s="232">
        <f t="shared" si="365"/>
        <v>1.4208580422888635</v>
      </c>
      <c r="CR80" s="232">
        <f t="shared" si="366"/>
        <v>1.6301230491460958</v>
      </c>
      <c r="CS80" s="232">
        <f t="shared" si="367"/>
        <v>0.24127019780369247</v>
      </c>
      <c r="CT80" s="232">
        <f t="shared" si="269"/>
        <v>14.800735314433874</v>
      </c>
      <c r="CV80" s="229">
        <f t="shared" si="270"/>
        <v>0.83</v>
      </c>
      <c r="CW80" s="229">
        <f t="shared" si="271"/>
        <v>1.19</v>
      </c>
      <c r="CX80" s="229">
        <f t="shared" si="272"/>
        <v>0.77744660075189143</v>
      </c>
      <c r="CY80" s="229">
        <f t="shared" si="273"/>
        <v>0.48954739461987162</v>
      </c>
      <c r="CZ80" s="229">
        <f t="shared" si="274"/>
        <v>1.1675562408541644</v>
      </c>
      <c r="DA80" s="229">
        <f t="shared" si="275"/>
        <v>0.83</v>
      </c>
      <c r="DB80" s="229">
        <f t="shared" si="276"/>
        <v>0.52661179443104189</v>
      </c>
      <c r="DC80" s="229">
        <f t="shared" si="277"/>
        <v>0.89</v>
      </c>
      <c r="DD80" s="229">
        <f t="shared" si="278"/>
        <v>0.83764525383212118</v>
      </c>
      <c r="DE80" s="229">
        <f t="shared" si="279"/>
        <v>0.25561993440355263</v>
      </c>
      <c r="DF80" s="229">
        <f t="shared" si="280"/>
        <v>30.516490511242527</v>
      </c>
      <c r="DH80" s="234">
        <f t="shared" si="368"/>
        <v>0.11248</v>
      </c>
      <c r="DI80" s="234">
        <f t="shared" si="369"/>
        <v>0.152</v>
      </c>
      <c r="DJ80" s="234">
        <f t="shared" si="370"/>
        <v>0.10600799200959965</v>
      </c>
      <c r="DK80" s="234">
        <f t="shared" si="281"/>
        <v>0.12349599733653321</v>
      </c>
      <c r="DL80" s="234">
        <f t="shared" si="282"/>
        <v>2.4896392263461461E-2</v>
      </c>
      <c r="DM80" s="234">
        <f t="shared" si="283"/>
        <v>20.159675455405619</v>
      </c>
      <c r="DO80" s="229">
        <f t="shared" si="371"/>
        <v>2.38</v>
      </c>
      <c r="DP80" s="229">
        <f t="shared" si="372"/>
        <v>3.49</v>
      </c>
      <c r="DQ80" s="229">
        <f t="shared" si="373"/>
        <v>3.6548838312413894</v>
      </c>
      <c r="DR80" s="229">
        <f t="shared" si="374"/>
        <v>2.8627945581928214</v>
      </c>
      <c r="DS80" s="229">
        <f t="shared" si="375"/>
        <v>2.5991340533400789</v>
      </c>
      <c r="DT80" s="229">
        <f t="shared" si="376"/>
        <v>2.38</v>
      </c>
      <c r="DU80" s="229">
        <f t="shared" si="377"/>
        <v>3.4351999999999996</v>
      </c>
      <c r="DV80" s="229">
        <f t="shared" si="378"/>
        <v>2.9749815967092199</v>
      </c>
      <c r="DW80" s="229">
        <f t="shared" si="284"/>
        <v>2.9721242549354385</v>
      </c>
      <c r="DX80" s="229">
        <f t="shared" si="285"/>
        <v>0.50724749891299981</v>
      </c>
      <c r="DY80" s="229">
        <f t="shared" si="286"/>
        <v>17.066833530619611</v>
      </c>
      <c r="EA80" s="235">
        <f t="shared" si="379"/>
        <v>0.14000000000000001</v>
      </c>
      <c r="EB80" s="235">
        <f t="shared" si="380"/>
        <v>0.20821633933218564</v>
      </c>
      <c r="EC80" s="235">
        <f t="shared" si="381"/>
        <v>0.14000000000000001</v>
      </c>
      <c r="ED80" s="235">
        <f t="shared" si="382"/>
        <v>0.16263011298605706</v>
      </c>
      <c r="EE80" s="235">
        <f t="shared" si="383"/>
        <v>0.13222353358400041</v>
      </c>
      <c r="EF80" s="235">
        <f t="shared" si="384"/>
        <v>0.15661399718044861</v>
      </c>
      <c r="EG80" s="235">
        <f t="shared" si="385"/>
        <v>3.1007821126310328E-2</v>
      </c>
      <c r="EH80" s="235">
        <f t="shared" si="287"/>
        <v>19.798882401669069</v>
      </c>
      <c r="EJ80" s="229">
        <f t="shared" si="386"/>
        <v>7.5426305676856105</v>
      </c>
      <c r="EK80" s="229">
        <f t="shared" si="387"/>
        <v>17.001514356765696</v>
      </c>
      <c r="EL80" s="229">
        <f t="shared" si="388"/>
        <v>6.91</v>
      </c>
      <c r="EM80" s="229">
        <f t="shared" si="389"/>
        <v>14.4</v>
      </c>
      <c r="EN80" s="229">
        <f t="shared" si="390"/>
        <v>22.357937613614759</v>
      </c>
      <c r="EO80" s="229">
        <f t="shared" si="391"/>
        <v>23.607047711357332</v>
      </c>
      <c r="EP80" s="229">
        <f t="shared" si="392"/>
        <v>18.957344668128776</v>
      </c>
      <c r="EQ80" s="229">
        <f t="shared" si="393"/>
        <v>15.82521070250745</v>
      </c>
      <c r="ER80" s="229">
        <f t="shared" si="394"/>
        <v>6.6400401943992096</v>
      </c>
      <c r="ES80" s="229">
        <f t="shared" si="288"/>
        <v>41.958621083933615</v>
      </c>
      <c r="EU80" s="238">
        <f t="shared" si="395"/>
        <v>1.5488582189148293E-2</v>
      </c>
      <c r="EV80" s="238">
        <f t="shared" si="396"/>
        <v>1.5488582189148293E-2</v>
      </c>
      <c r="EW80" s="238" t="e">
        <f t="shared" si="397"/>
        <v>#DIV/0!</v>
      </c>
      <c r="EX80" s="238" t="e">
        <f t="shared" si="289"/>
        <v>#DIV/0!</v>
      </c>
      <c r="EZ80" s="240">
        <f t="shared" si="398"/>
        <v>2.648547554344358E-2</v>
      </c>
      <c r="FA80" s="240">
        <f t="shared" si="399"/>
        <v>2.648547554344358E-2</v>
      </c>
      <c r="FB80" s="240" t="e">
        <f t="shared" si="400"/>
        <v>#DIV/0!</v>
      </c>
      <c r="FC80" s="240" t="e">
        <f t="shared" si="290"/>
        <v>#DIV/0!</v>
      </c>
      <c r="FE80" s="236">
        <f t="shared" si="401"/>
        <v>0.9</v>
      </c>
      <c r="FF80" s="236">
        <f t="shared" si="402"/>
        <v>1.2</v>
      </c>
      <c r="FG80" s="236">
        <f t="shared" si="403"/>
        <v>1.264982674636038</v>
      </c>
      <c r="FH80" s="236">
        <f t="shared" si="404"/>
        <v>1.2778080306047341</v>
      </c>
      <c r="FI80" s="236">
        <f t="shared" si="405"/>
        <v>0.9</v>
      </c>
      <c r="FJ80" s="236">
        <f t="shared" si="406"/>
        <v>1.0842007532403806</v>
      </c>
      <c r="FK80" s="236">
        <f t="shared" si="291"/>
        <v>1.1044985764135256</v>
      </c>
      <c r="FL80" s="236">
        <f t="shared" si="292"/>
        <v>0.17260542965809397</v>
      </c>
      <c r="FM80" s="236">
        <f t="shared" si="293"/>
        <v>15.627492270616589</v>
      </c>
      <c r="FO80" s="227">
        <f t="shared" si="407"/>
        <v>0.3</v>
      </c>
      <c r="FP80" s="227">
        <f t="shared" si="408"/>
        <v>0.32</v>
      </c>
      <c r="FQ80" s="227">
        <f t="shared" si="409"/>
        <v>0.3329637737141195</v>
      </c>
      <c r="FR80" s="227">
        <f t="shared" si="410"/>
        <v>0.3</v>
      </c>
      <c r="FS80" s="227">
        <f t="shared" si="411"/>
        <v>0.34849309925583655</v>
      </c>
      <c r="FT80" s="227">
        <f t="shared" si="294"/>
        <v>0.32029137459399121</v>
      </c>
      <c r="FU80" s="227">
        <f t="shared" si="295"/>
        <v>2.1092010562910619E-2</v>
      </c>
      <c r="FV80" s="227">
        <f t="shared" si="296"/>
        <v>6.5852571239694928</v>
      </c>
      <c r="FX80" s="230">
        <f t="shared" si="412"/>
        <v>2.94</v>
      </c>
      <c r="FY80" s="230">
        <f t="shared" si="413"/>
        <v>1.6263011298605707</v>
      </c>
      <c r="FZ80" s="230">
        <f t="shared" si="414"/>
        <v>2.94</v>
      </c>
      <c r="GA80" s="230">
        <f t="shared" si="415"/>
        <v>3.871581941284846</v>
      </c>
      <c r="GB80" s="230">
        <f t="shared" si="297"/>
        <v>2.8444707677863543</v>
      </c>
      <c r="GC80" s="230">
        <f t="shared" si="298"/>
        <v>0.92324541661545434</v>
      </c>
      <c r="GD80" s="230">
        <f t="shared" si="299"/>
        <v>32.45754630601985</v>
      </c>
      <c r="GF80" s="231">
        <f t="shared" si="416"/>
        <v>0.06</v>
      </c>
      <c r="GG80" s="231">
        <f t="shared" si="417"/>
        <v>0.05</v>
      </c>
      <c r="GH80" s="231">
        <f t="shared" si="418"/>
        <v>0.06</v>
      </c>
      <c r="GI80" s="231">
        <f t="shared" si="419"/>
        <v>6.1954328756593173E-2</v>
      </c>
      <c r="GJ80" s="245">
        <f t="shared" si="432"/>
        <v>5.7988582189148291E-2</v>
      </c>
      <c r="GK80" s="231">
        <f t="shared" si="433"/>
        <v>5.404818666387771E-3</v>
      </c>
      <c r="GL80" s="231">
        <f t="shared" si="300"/>
        <v>9.3204876931776468</v>
      </c>
      <c r="GN80" s="246">
        <f t="shared" si="420"/>
        <v>0.18</v>
      </c>
      <c r="GO80" s="246">
        <f t="shared" si="421"/>
        <v>0.18</v>
      </c>
      <c r="GP80" s="246">
        <f t="shared" si="422"/>
        <v>0.16263011298605706</v>
      </c>
      <c r="GQ80" s="247">
        <f t="shared" si="434"/>
        <v>0.17421003766201903</v>
      </c>
      <c r="GR80" s="246">
        <f t="shared" si="438"/>
        <v>1.0028508943293336E-2</v>
      </c>
      <c r="GS80" s="246">
        <f t="shared" si="301"/>
        <v>5.7565620660443342</v>
      </c>
      <c r="GU80" s="249">
        <f t="shared" si="423"/>
        <v>2.1219357599133161E-2</v>
      </c>
      <c r="GV80" s="249">
        <f t="shared" si="424"/>
        <v>2.1219357599133161E-2</v>
      </c>
      <c r="GW80" s="249" t="e">
        <f t="shared" si="425"/>
        <v>#DIV/0!</v>
      </c>
      <c r="GX80" s="249" t="e">
        <f t="shared" si="302"/>
        <v>#DIV/0!</v>
      </c>
      <c r="GZ80" s="240">
        <f t="shared" si="426"/>
        <v>2.3232873283722439E-2</v>
      </c>
      <c r="HA80" s="240">
        <f t="shared" si="427"/>
        <v>2.3232873283722439E-2</v>
      </c>
      <c r="HB80" s="240" t="e">
        <f t="shared" si="428"/>
        <v>#DIV/0!</v>
      </c>
      <c r="HC80" s="240" t="e">
        <f t="shared" si="303"/>
        <v>#DIV/0!</v>
      </c>
      <c r="HE80" s="234">
        <f t="shared" si="429"/>
        <v>9.1726864025432328E-2</v>
      </c>
      <c r="HF80" s="251">
        <f t="shared" si="430"/>
        <v>9.1726864025432328E-2</v>
      </c>
      <c r="HG80" s="234" t="e">
        <f t="shared" si="431"/>
        <v>#DIV/0!</v>
      </c>
      <c r="HH80" s="234" t="e">
        <f t="shared" si="304"/>
        <v>#DIV/0!</v>
      </c>
    </row>
    <row r="81" spans="2:216" ht="15.6" x14ac:dyDescent="0.25">
      <c r="B81">
        <v>77</v>
      </c>
      <c r="C81" s="124">
        <f t="shared" si="305"/>
        <v>76.443103296682239</v>
      </c>
      <c r="D81" s="124">
        <f t="shared" si="306"/>
        <v>167.41991092997705</v>
      </c>
      <c r="E81" s="29">
        <f t="shared" si="254"/>
        <v>1.9263296020101661</v>
      </c>
      <c r="F81" s="29">
        <f t="shared" si="255"/>
        <v>1.8579980651923846</v>
      </c>
      <c r="G81" s="29">
        <f t="shared" si="256"/>
        <v>1.9021678852093318</v>
      </c>
      <c r="H81" s="29">
        <f t="shared" si="257"/>
        <v>1.9263296020101661</v>
      </c>
      <c r="I81" s="29">
        <f t="shared" si="258"/>
        <v>1.8854779489224105</v>
      </c>
      <c r="J81" s="125">
        <f t="shared" si="259"/>
        <v>1.8996606206688917</v>
      </c>
      <c r="K81" s="126">
        <f t="shared" si="307"/>
        <v>2.9007206922330955E-2</v>
      </c>
      <c r="L81" s="126">
        <f t="shared" si="308"/>
        <v>1.5269678492423131</v>
      </c>
      <c r="N81" s="138">
        <f t="shared" si="309"/>
        <v>398.92873034046727</v>
      </c>
      <c r="O81" s="138">
        <f t="shared" si="310"/>
        <v>325.79239999999999</v>
      </c>
      <c r="P81" s="138">
        <f t="shared" si="311"/>
        <v>291.15374810394786</v>
      </c>
      <c r="Q81" s="138">
        <f t="shared" si="312"/>
        <v>409.64865900815306</v>
      </c>
      <c r="R81" s="138">
        <f t="shared" si="313"/>
        <v>398.92873034046727</v>
      </c>
      <c r="S81" s="138">
        <f t="shared" si="314"/>
        <v>294.44670000000002</v>
      </c>
      <c r="T81" s="138">
        <f t="shared" si="315"/>
        <v>353.14982796550589</v>
      </c>
      <c r="U81" s="138">
        <f t="shared" si="316"/>
        <v>55.536535236763228</v>
      </c>
      <c r="V81" s="138">
        <f t="shared" si="317"/>
        <v>15.726054733399952</v>
      </c>
      <c r="X81" s="227">
        <f t="shared" si="318"/>
        <v>0.44821968595</v>
      </c>
      <c r="Y81" s="227">
        <f t="shared" si="319"/>
        <v>0.47</v>
      </c>
      <c r="Z81" s="227">
        <f t="shared" si="320"/>
        <v>0.44821968595</v>
      </c>
      <c r="AA81" s="227">
        <f t="shared" si="321"/>
        <v>0.45547979063333338</v>
      </c>
      <c r="AB81" s="227">
        <f t="shared" si="322"/>
        <v>1.2574870179802071E-2</v>
      </c>
      <c r="AC81" s="227">
        <f t="shared" si="323"/>
        <v>2.7607965135658432</v>
      </c>
      <c r="AE81" s="228">
        <f t="shared" si="324"/>
        <v>4.2033578738856869</v>
      </c>
      <c r="AF81" s="228">
        <f t="shared" si="325"/>
        <v>5.2850000000000001</v>
      </c>
      <c r="AG81" s="228">
        <f t="shared" si="326"/>
        <v>4.2033578738856869</v>
      </c>
      <c r="AH81" s="228">
        <f t="shared" si="327"/>
        <v>6.8549014160389383</v>
      </c>
      <c r="AI81" s="228">
        <f t="shared" si="328"/>
        <v>5.2850000000000001</v>
      </c>
      <c r="AJ81" s="228">
        <f t="shared" si="329"/>
        <v>5.817320160877518</v>
      </c>
      <c r="AK81" s="228">
        <f t="shared" si="330"/>
        <v>5.2036508177617078</v>
      </c>
      <c r="AL81" s="228">
        <f t="shared" si="331"/>
        <v>5.2646554489213617</v>
      </c>
      <c r="AM81" s="228">
        <f t="shared" si="332"/>
        <v>0.92119261213102455</v>
      </c>
      <c r="AN81" s="228">
        <f t="shared" si="333"/>
        <v>17.497680922685284</v>
      </c>
      <c r="AP81" s="229">
        <f t="shared" si="192"/>
        <v>1.426897239037354</v>
      </c>
      <c r="AQ81" s="229">
        <f t="shared" si="193"/>
        <v>1.4</v>
      </c>
      <c r="AR81" s="229">
        <f t="shared" si="194"/>
        <v>1.47</v>
      </c>
      <c r="AS81" s="229">
        <f t="shared" si="195"/>
        <v>1.2895554314886444</v>
      </c>
      <c r="AT81" s="229">
        <f t="shared" si="196"/>
        <v>1.426897239037354</v>
      </c>
      <c r="AU81" s="229">
        <f t="shared" si="197"/>
        <v>1.4894136308233037</v>
      </c>
      <c r="AV81" s="229">
        <f t="shared" si="198"/>
        <v>1.4</v>
      </c>
      <c r="AW81" s="229">
        <f t="shared" si="199"/>
        <v>1.4499999999999977</v>
      </c>
      <c r="AX81" s="229">
        <f t="shared" si="200"/>
        <v>1.3434908059597344</v>
      </c>
      <c r="AY81" s="229">
        <f t="shared" si="334"/>
        <v>1.4106949273718208</v>
      </c>
      <c r="AZ81" s="229">
        <f t="shared" si="335"/>
        <v>6.2453561541770918E-2</v>
      </c>
      <c r="BA81" s="229">
        <f t="shared" si="336"/>
        <v>4.427148657727459</v>
      </c>
      <c r="BC81" s="230">
        <f t="shared" si="337"/>
        <v>9.65</v>
      </c>
      <c r="BD81" s="230">
        <f t="shared" si="338"/>
        <v>11.73</v>
      </c>
      <c r="BE81" s="230">
        <f t="shared" si="339"/>
        <v>9.65</v>
      </c>
      <c r="BF81" s="230">
        <f t="shared" si="340"/>
        <v>8.7499692307692296</v>
      </c>
      <c r="BG81" s="230">
        <f t="shared" si="436"/>
        <v>9.9449923076923081</v>
      </c>
      <c r="BH81" s="230">
        <f t="shared" si="437"/>
        <v>1.2633782145728065</v>
      </c>
      <c r="BI81" s="230">
        <f t="shared" si="343"/>
        <v>12.703662059100857</v>
      </c>
      <c r="BK81" s="227">
        <f t="shared" si="260"/>
        <v>19.600000000000001</v>
      </c>
      <c r="BL81" s="227">
        <f t="shared" si="261"/>
        <v>31.73</v>
      </c>
      <c r="BM81" s="227">
        <f t="shared" si="262"/>
        <v>38.609659494633277</v>
      </c>
      <c r="BN81" s="227">
        <f t="shared" si="263"/>
        <v>22.495942102203529</v>
      </c>
      <c r="BO81" s="227">
        <f t="shared" si="264"/>
        <v>19.600000000000001</v>
      </c>
      <c r="BP81" s="227">
        <f t="shared" si="265"/>
        <v>19.700207237275482</v>
      </c>
      <c r="BQ81" s="227">
        <f t="shared" si="266"/>
        <v>31.86</v>
      </c>
      <c r="BR81" s="227">
        <f t="shared" si="344"/>
        <v>26.227972690587471</v>
      </c>
      <c r="BS81" s="227">
        <f t="shared" si="345"/>
        <v>7.7427172485009503</v>
      </c>
      <c r="BT81" s="227">
        <f t="shared" si="267"/>
        <v>29.520837694327813</v>
      </c>
      <c r="BV81" s="231">
        <f t="shared" si="346"/>
        <v>0.26</v>
      </c>
      <c r="BW81" s="231">
        <f t="shared" si="347"/>
        <v>0.28609990464168455</v>
      </c>
      <c r="BX81" s="231">
        <f t="shared" si="348"/>
        <v>0.31279431515527478</v>
      </c>
      <c r="BY81" s="231">
        <f t="shared" si="349"/>
        <v>0.26</v>
      </c>
      <c r="BZ81" s="231">
        <f t="shared" si="350"/>
        <v>0.32106104744799774</v>
      </c>
      <c r="CA81" s="231">
        <f t="shared" si="351"/>
        <v>0.29449620857415038</v>
      </c>
      <c r="CB81" s="231">
        <f t="shared" si="352"/>
        <v>0.48</v>
      </c>
      <c r="CC81" s="231">
        <f t="shared" si="353"/>
        <v>0.42616594788297046</v>
      </c>
      <c r="CD81" s="231">
        <f t="shared" si="354"/>
        <v>0.33007717796275976</v>
      </c>
      <c r="CE81" s="231">
        <f t="shared" si="355"/>
        <v>8.0277660940467982E-2</v>
      </c>
      <c r="CF81" s="231">
        <f t="shared" si="268"/>
        <v>24.320875934514056</v>
      </c>
      <c r="CH81" s="232">
        <f t="shared" si="356"/>
        <v>1.40206704259207</v>
      </c>
      <c r="CI81" s="232">
        <f t="shared" si="357"/>
        <v>1.52</v>
      </c>
      <c r="CJ81" s="232">
        <f t="shared" si="358"/>
        <v>2.1</v>
      </c>
      <c r="CK81" s="232">
        <f t="shared" si="359"/>
        <v>1.888144714929868</v>
      </c>
      <c r="CL81" s="232">
        <f t="shared" si="360"/>
        <v>1.6638357144372451</v>
      </c>
      <c r="CM81" s="232">
        <f t="shared" si="361"/>
        <v>1.4757573118682152</v>
      </c>
      <c r="CN81" s="232">
        <f t="shared" si="362"/>
        <v>1.4048138705365678</v>
      </c>
      <c r="CO81" s="232">
        <f t="shared" si="363"/>
        <v>1.7967289705225093</v>
      </c>
      <c r="CP81" s="232">
        <f t="shared" si="364"/>
        <v>1.52</v>
      </c>
      <c r="CQ81" s="232">
        <f t="shared" si="365"/>
        <v>1.4157038909481043</v>
      </c>
      <c r="CR81" s="232">
        <f t="shared" si="366"/>
        <v>1.6187051515834578</v>
      </c>
      <c r="CS81" s="232">
        <f t="shared" si="367"/>
        <v>0.23846318565021143</v>
      </c>
      <c r="CT81" s="232">
        <f t="shared" si="269"/>
        <v>14.73172463910063</v>
      </c>
      <c r="CV81" s="229">
        <f t="shared" si="270"/>
        <v>0.83</v>
      </c>
      <c r="CW81" s="229">
        <f t="shared" si="271"/>
        <v>1.19</v>
      </c>
      <c r="CX81" s="229">
        <f t="shared" si="272"/>
        <v>0.76842868132103437</v>
      </c>
      <c r="CY81" s="229">
        <f t="shared" si="273"/>
        <v>0.49219994132021233</v>
      </c>
      <c r="CZ81" s="229">
        <f t="shared" si="274"/>
        <v>1.1559602854242508</v>
      </c>
      <c r="DA81" s="229">
        <f t="shared" si="275"/>
        <v>0.83</v>
      </c>
      <c r="DB81" s="229">
        <f t="shared" si="276"/>
        <v>0.51981310241743917</v>
      </c>
      <c r="DC81" s="229">
        <f t="shared" si="277"/>
        <v>0.89</v>
      </c>
      <c r="DD81" s="229">
        <f t="shared" si="278"/>
        <v>0.83455025131036698</v>
      </c>
      <c r="DE81" s="229">
        <f t="shared" si="279"/>
        <v>0.25450239621038329</v>
      </c>
      <c r="DF81" s="229">
        <f t="shared" si="280"/>
        <v>30.49575454692836</v>
      </c>
      <c r="DH81" s="234">
        <f t="shared" si="368"/>
        <v>0.11395999999999999</v>
      </c>
      <c r="DI81" s="234">
        <f t="shared" si="369"/>
        <v>0.154</v>
      </c>
      <c r="DJ81" s="234">
        <f t="shared" si="370"/>
        <v>0.10570085727460196</v>
      </c>
      <c r="DK81" s="234">
        <f t="shared" si="281"/>
        <v>0.12455361909153399</v>
      </c>
      <c r="DL81" s="234">
        <f t="shared" si="282"/>
        <v>2.5833512558196089E-2</v>
      </c>
      <c r="DM81" s="234">
        <f t="shared" si="283"/>
        <v>20.740876697618184</v>
      </c>
      <c r="DO81" s="229">
        <f t="shared" si="371"/>
        <v>2.38</v>
      </c>
      <c r="DP81" s="229">
        <f t="shared" si="372"/>
        <v>3.49</v>
      </c>
      <c r="DQ81" s="229">
        <f t="shared" si="373"/>
        <v>3.6378641773839737</v>
      </c>
      <c r="DR81" s="229">
        <f t="shared" si="374"/>
        <v>2.8494909310033378</v>
      </c>
      <c r="DS81" s="229">
        <f t="shared" si="375"/>
        <v>2.5733285067159568</v>
      </c>
      <c r="DT81" s="229">
        <f t="shared" si="376"/>
        <v>2.38</v>
      </c>
      <c r="DU81" s="229">
        <f t="shared" si="377"/>
        <v>3.4803999999999999</v>
      </c>
      <c r="DV81" s="229">
        <f t="shared" si="378"/>
        <v>2.9320227814747639</v>
      </c>
      <c r="DW81" s="229">
        <f t="shared" si="284"/>
        <v>2.965388299572254</v>
      </c>
      <c r="DX81" s="229">
        <f t="shared" si="285"/>
        <v>0.51357202243664279</v>
      </c>
      <c r="DY81" s="229">
        <f t="shared" si="286"/>
        <v>17.318879369380515</v>
      </c>
      <c r="EA81" s="235">
        <f t="shared" si="379"/>
        <v>0.14000000000000001</v>
      </c>
      <c r="EB81" s="235">
        <f t="shared" si="380"/>
        <v>0.20595391969378496</v>
      </c>
      <c r="EC81" s="235">
        <f t="shared" si="381"/>
        <v>0.14000000000000001</v>
      </c>
      <c r="ED81" s="235">
        <f t="shared" si="382"/>
        <v>0.16053051692303269</v>
      </c>
      <c r="EE81" s="235">
        <f t="shared" si="383"/>
        <v>0.13187334462025893</v>
      </c>
      <c r="EF81" s="235">
        <f t="shared" si="384"/>
        <v>0.1556715562474153</v>
      </c>
      <c r="EG81" s="235">
        <f t="shared" si="385"/>
        <v>3.0039456551686949E-2</v>
      </c>
      <c r="EH81" s="235">
        <f t="shared" si="287"/>
        <v>19.296689309088674</v>
      </c>
      <c r="EJ81" s="229">
        <f t="shared" si="386"/>
        <v>7.5426305676856105</v>
      </c>
      <c r="EK81" s="229">
        <f t="shared" si="387"/>
        <v>16.623461757703794</v>
      </c>
      <c r="EL81" s="229">
        <f t="shared" si="388"/>
        <v>6.91</v>
      </c>
      <c r="EM81" s="229">
        <f t="shared" si="389"/>
        <v>14.4</v>
      </c>
      <c r="EN81" s="229">
        <f t="shared" si="390"/>
        <v>22.217954597614316</v>
      </c>
      <c r="EO81" s="229">
        <f t="shared" si="391"/>
        <v>23.034084147188619</v>
      </c>
      <c r="EP81" s="229">
        <f t="shared" si="392"/>
        <v>18.293973227576654</v>
      </c>
      <c r="EQ81" s="229">
        <f t="shared" si="393"/>
        <v>15.574586328252716</v>
      </c>
      <c r="ER81" s="229">
        <f t="shared" si="394"/>
        <v>6.4451619719724604</v>
      </c>
      <c r="ES81" s="229">
        <f t="shared" si="288"/>
        <v>41.382556403958958</v>
      </c>
      <c r="EU81" s="238">
        <f t="shared" si="395"/>
        <v>1.5288620659336449E-2</v>
      </c>
      <c r="EV81" s="238">
        <f t="shared" si="396"/>
        <v>1.5288620659336449E-2</v>
      </c>
      <c r="EW81" s="238" t="e">
        <f t="shared" si="397"/>
        <v>#DIV/0!</v>
      </c>
      <c r="EX81" s="238" t="e">
        <f t="shared" si="289"/>
        <v>#DIV/0!</v>
      </c>
      <c r="EZ81" s="240">
        <f t="shared" si="398"/>
        <v>2.6143541327465328E-2</v>
      </c>
      <c r="FA81" s="240">
        <f t="shared" si="399"/>
        <v>2.6143541327465328E-2</v>
      </c>
      <c r="FB81" s="240" t="e">
        <f t="shared" si="400"/>
        <v>#DIV/0!</v>
      </c>
      <c r="FC81" s="240" t="e">
        <f t="shared" si="290"/>
        <v>#DIV/0!</v>
      </c>
      <c r="FE81" s="236">
        <f t="shared" si="401"/>
        <v>0.9</v>
      </c>
      <c r="FF81" s="236">
        <f t="shared" si="402"/>
        <v>1.2</v>
      </c>
      <c r="FG81" s="236">
        <f t="shared" si="403"/>
        <v>1.2501270111750353</v>
      </c>
      <c r="FH81" s="236">
        <f t="shared" si="404"/>
        <v>1.261311204395257</v>
      </c>
      <c r="FI81" s="236">
        <f t="shared" si="405"/>
        <v>0.9</v>
      </c>
      <c r="FJ81" s="236">
        <f t="shared" si="406"/>
        <v>1.0702034461535515</v>
      </c>
      <c r="FK81" s="236">
        <f t="shared" si="291"/>
        <v>1.0969402769539742</v>
      </c>
      <c r="FL81" s="236">
        <f t="shared" si="292"/>
        <v>0.16696771384804271</v>
      </c>
      <c r="FM81" s="236">
        <f t="shared" si="293"/>
        <v>15.22122191662841</v>
      </c>
      <c r="FO81" s="227">
        <f t="shared" si="407"/>
        <v>0.3</v>
      </c>
      <c r="FP81" s="227">
        <f t="shared" si="408"/>
        <v>0.32</v>
      </c>
      <c r="FQ81" s="227">
        <f t="shared" si="409"/>
        <v>0.33173536142866694</v>
      </c>
      <c r="FR81" s="227">
        <f t="shared" si="410"/>
        <v>0.3</v>
      </c>
      <c r="FS81" s="227">
        <f t="shared" si="411"/>
        <v>0.34399396483507005</v>
      </c>
      <c r="FT81" s="227">
        <f t="shared" si="294"/>
        <v>0.31914586525274741</v>
      </c>
      <c r="FU81" s="227">
        <f t="shared" si="295"/>
        <v>1.9427952320919605E-2</v>
      </c>
      <c r="FV81" s="227">
        <f t="shared" si="296"/>
        <v>6.0874836355889013</v>
      </c>
      <c r="FX81" s="230">
        <f t="shared" si="412"/>
        <v>2.94</v>
      </c>
      <c r="FY81" s="230">
        <f t="shared" si="413"/>
        <v>1.6053051692303271</v>
      </c>
      <c r="FZ81" s="230">
        <f t="shared" si="414"/>
        <v>2.94</v>
      </c>
      <c r="GA81" s="230">
        <f t="shared" si="415"/>
        <v>3.8216577814555479</v>
      </c>
      <c r="GB81" s="230">
        <f t="shared" si="297"/>
        <v>2.8267407376714684</v>
      </c>
      <c r="GC81" s="230">
        <f t="shared" si="298"/>
        <v>0.91422464286621985</v>
      </c>
      <c r="GD81" s="230">
        <f t="shared" si="299"/>
        <v>32.342005429875883</v>
      </c>
      <c r="GF81" s="231">
        <f t="shared" si="416"/>
        <v>0.06</v>
      </c>
      <c r="GG81" s="231">
        <f t="shared" si="417"/>
        <v>0.05</v>
      </c>
      <c r="GH81" s="231">
        <f t="shared" si="418"/>
        <v>0.06</v>
      </c>
      <c r="GI81" s="231">
        <f t="shared" si="419"/>
        <v>6.1154482637345797E-2</v>
      </c>
      <c r="GJ81" s="245">
        <f t="shared" si="432"/>
        <v>5.7788620659336445E-2</v>
      </c>
      <c r="GK81" s="231">
        <f t="shared" si="433"/>
        <v>5.2208567562128019E-3</v>
      </c>
      <c r="GL81" s="231">
        <f t="shared" si="300"/>
        <v>9.0344027883789089</v>
      </c>
      <c r="GN81" s="246">
        <f t="shared" si="420"/>
        <v>0.18</v>
      </c>
      <c r="GO81" s="246">
        <f t="shared" si="421"/>
        <v>0.18</v>
      </c>
      <c r="GP81" s="246">
        <f t="shared" si="422"/>
        <v>0.16053051692303269</v>
      </c>
      <c r="GQ81" s="247">
        <f t="shared" si="434"/>
        <v>0.17351017230767754</v>
      </c>
      <c r="GR81" s="246">
        <f t="shared" si="438"/>
        <v>1.1240711295469935E-2</v>
      </c>
      <c r="GS81" s="246">
        <f t="shared" si="301"/>
        <v>6.4784163060695388</v>
      </c>
      <c r="GU81" s="249">
        <f t="shared" si="423"/>
        <v>2.0945410303290932E-2</v>
      </c>
      <c r="GV81" s="249">
        <f t="shared" si="424"/>
        <v>2.0945410303290932E-2</v>
      </c>
      <c r="GW81" s="249" t="e">
        <f t="shared" si="425"/>
        <v>#DIV/0!</v>
      </c>
      <c r="GX81" s="249" t="e">
        <f t="shared" si="302"/>
        <v>#DIV/0!</v>
      </c>
      <c r="GZ81" s="240">
        <f t="shared" si="426"/>
        <v>2.2932930989004674E-2</v>
      </c>
      <c r="HA81" s="240">
        <f t="shared" si="427"/>
        <v>2.2932930989004674E-2</v>
      </c>
      <c r="HB81" s="240" t="e">
        <f t="shared" si="428"/>
        <v>#DIV/0!</v>
      </c>
      <c r="HC81" s="240" t="e">
        <f t="shared" si="303"/>
        <v>#DIV/0!</v>
      </c>
      <c r="HE81" s="234">
        <f t="shared" si="429"/>
        <v>9.0537092923051843E-2</v>
      </c>
      <c r="HF81" s="251">
        <f t="shared" si="430"/>
        <v>9.0537092923051843E-2</v>
      </c>
      <c r="HG81" s="234" t="e">
        <f t="shared" si="431"/>
        <v>#DIV/0!</v>
      </c>
      <c r="HH81" s="234" t="e">
        <f t="shared" si="304"/>
        <v>#DIV/0!</v>
      </c>
    </row>
    <row r="82" spans="2:216" ht="15.6" x14ac:dyDescent="0.25">
      <c r="B82">
        <v>78</v>
      </c>
      <c r="C82" s="124">
        <f t="shared" si="305"/>
        <v>75.779819280141965</v>
      </c>
      <c r="D82" s="124">
        <f t="shared" si="306"/>
        <v>168.48998466063404</v>
      </c>
      <c r="E82" s="29">
        <f t="shared" si="254"/>
        <v>1.922758167814596</v>
      </c>
      <c r="F82" s="29">
        <f t="shared" si="255"/>
        <v>1.8596996300546709</v>
      </c>
      <c r="G82" s="29">
        <f t="shared" si="256"/>
        <v>1.8987481737987979</v>
      </c>
      <c r="H82" s="29">
        <f t="shared" si="257"/>
        <v>1.922758167814596</v>
      </c>
      <c r="I82" s="29">
        <f t="shared" si="258"/>
        <v>1.88326995380794</v>
      </c>
      <c r="J82" s="125">
        <f t="shared" si="259"/>
        <v>1.8974468186581201</v>
      </c>
      <c r="K82" s="126">
        <f t="shared" si="307"/>
        <v>2.6966905930644276E-2</v>
      </c>
      <c r="L82" s="126">
        <f t="shared" si="308"/>
        <v>1.4212206458421508</v>
      </c>
      <c r="N82" s="138">
        <f t="shared" si="309"/>
        <v>398.46383191820524</v>
      </c>
      <c r="O82" s="138">
        <f t="shared" si="310"/>
        <v>325.79239999999999</v>
      </c>
      <c r="P82" s="138">
        <f t="shared" si="311"/>
        <v>289.078996425328</v>
      </c>
      <c r="Q82" s="138">
        <f t="shared" si="312"/>
        <v>406.94126021005479</v>
      </c>
      <c r="R82" s="138">
        <f t="shared" si="313"/>
        <v>398.46383191820524</v>
      </c>
      <c r="S82" s="138">
        <f t="shared" si="314"/>
        <v>289.76519999999999</v>
      </c>
      <c r="T82" s="138">
        <f t="shared" si="315"/>
        <v>351.41758674529888</v>
      </c>
      <c r="U82" s="138">
        <f t="shared" si="316"/>
        <v>56.308691185222465</v>
      </c>
      <c r="V82" s="138">
        <f t="shared" si="317"/>
        <v>16.023299148666108</v>
      </c>
      <c r="X82" s="227">
        <f t="shared" si="318"/>
        <v>0.44998435080000004</v>
      </c>
      <c r="Y82" s="227">
        <f t="shared" si="319"/>
        <v>0.47</v>
      </c>
      <c r="Z82" s="227">
        <f t="shared" si="320"/>
        <v>0.44998435080000004</v>
      </c>
      <c r="AA82" s="227">
        <f t="shared" si="321"/>
        <v>0.45665623386666671</v>
      </c>
      <c r="AB82" s="227">
        <f t="shared" si="322"/>
        <v>1.1556040453625077E-2</v>
      </c>
      <c r="AC82" s="227">
        <f t="shared" si="323"/>
        <v>2.530577619794232</v>
      </c>
      <c r="AE82" s="228">
        <f t="shared" si="324"/>
        <v>4.1974402787238763</v>
      </c>
      <c r="AF82" s="228">
        <f t="shared" si="325"/>
        <v>5.2850000000000001</v>
      </c>
      <c r="AG82" s="228">
        <f t="shared" si="326"/>
        <v>4.1974402787238763</v>
      </c>
      <c r="AH82" s="228">
        <f t="shared" si="327"/>
        <v>6.795440170677514</v>
      </c>
      <c r="AI82" s="228">
        <f t="shared" si="328"/>
        <v>5.2850000000000001</v>
      </c>
      <c r="AJ82" s="228">
        <f t="shared" si="329"/>
        <v>5.7668442472188035</v>
      </c>
      <c r="AK82" s="228">
        <f t="shared" si="330"/>
        <v>5.1966961378599432</v>
      </c>
      <c r="AL82" s="228">
        <f t="shared" si="331"/>
        <v>5.2462658733148597</v>
      </c>
      <c r="AM82" s="228">
        <f t="shared" si="332"/>
        <v>0.90152379581618802</v>
      </c>
      <c r="AN82" s="228">
        <f t="shared" si="333"/>
        <v>17.184104229291737</v>
      </c>
      <c r="AP82" s="229">
        <f t="shared" si="192"/>
        <v>1.4271266127268751</v>
      </c>
      <c r="AQ82" s="229">
        <f t="shared" si="193"/>
        <v>1.4</v>
      </c>
      <c r="AR82" s="229">
        <f t="shared" si="194"/>
        <v>1.47</v>
      </c>
      <c r="AS82" s="229">
        <f t="shared" si="195"/>
        <v>1.2993674793594443</v>
      </c>
      <c r="AT82" s="229">
        <f t="shared" si="196"/>
        <v>1.4271266127268751</v>
      </c>
      <c r="AU82" s="229">
        <f t="shared" si="197"/>
        <v>1.5192869089087824</v>
      </c>
      <c r="AV82" s="229">
        <f t="shared" si="198"/>
        <v>1.4</v>
      </c>
      <c r="AW82" s="229">
        <f t="shared" si="199"/>
        <v>1.4499999999999986</v>
      </c>
      <c r="AX82" s="229">
        <f t="shared" si="200"/>
        <v>1.3413565874955453</v>
      </c>
      <c r="AY82" s="229">
        <f t="shared" si="334"/>
        <v>1.4149182445797246</v>
      </c>
      <c r="AZ82" s="229">
        <f t="shared" si="335"/>
        <v>6.5825565627701699E-2</v>
      </c>
      <c r="BA82" s="229">
        <f t="shared" si="336"/>
        <v>4.652252232937597</v>
      </c>
      <c r="BC82" s="230">
        <f t="shared" si="337"/>
        <v>9.65</v>
      </c>
      <c r="BD82" s="230">
        <f t="shared" si="338"/>
        <v>11.73</v>
      </c>
      <c r="BE82" s="230">
        <f t="shared" si="339"/>
        <v>9.65</v>
      </c>
      <c r="BF82" s="230">
        <f t="shared" si="340"/>
        <v>8.744123076923076</v>
      </c>
      <c r="BG82" s="230">
        <f t="shared" si="436"/>
        <v>9.9435307692307688</v>
      </c>
      <c r="BH82" s="230">
        <f t="shared" si="437"/>
        <v>1.2652235309518101</v>
      </c>
      <c r="BI82" s="230">
        <f t="shared" si="343"/>
        <v>12.724087251451103</v>
      </c>
      <c r="BK82" s="227">
        <f t="shared" si="260"/>
        <v>19.600000000000001</v>
      </c>
      <c r="BL82" s="227">
        <f t="shared" si="261"/>
        <v>31.73</v>
      </c>
      <c r="BM82" s="227">
        <f t="shared" si="262"/>
        <v>38.562089199053347</v>
      </c>
      <c r="BN82" s="227">
        <f t="shared" si="263"/>
        <v>22.426195823040548</v>
      </c>
      <c r="BO82" s="227">
        <f t="shared" si="264"/>
        <v>19.600000000000001</v>
      </c>
      <c r="BP82" s="227">
        <f t="shared" si="265"/>
        <v>19.124024974498454</v>
      </c>
      <c r="BQ82" s="227">
        <f t="shared" si="266"/>
        <v>31.86</v>
      </c>
      <c r="BR82" s="227">
        <f t="shared" si="344"/>
        <v>26.128901428084621</v>
      </c>
      <c r="BS82" s="227">
        <f t="shared" si="345"/>
        <v>7.8191366194784235</v>
      </c>
      <c r="BT82" s="227">
        <f t="shared" si="267"/>
        <v>29.925240603778441</v>
      </c>
      <c r="BV82" s="231">
        <f t="shared" si="346"/>
        <v>0.26</v>
      </c>
      <c r="BW82" s="231">
        <f t="shared" si="347"/>
        <v>0.28328154729977706</v>
      </c>
      <c r="BX82" s="231">
        <f t="shared" si="348"/>
        <v>0.31089501152878546</v>
      </c>
      <c r="BY82" s="231">
        <f t="shared" si="349"/>
        <v>0.26</v>
      </c>
      <c r="BZ82" s="231">
        <f t="shared" si="350"/>
        <v>0.31827525181935185</v>
      </c>
      <c r="CA82" s="231">
        <f t="shared" si="351"/>
        <v>0.29513726552411729</v>
      </c>
      <c r="CB82" s="231">
        <f t="shared" si="352"/>
        <v>0.48</v>
      </c>
      <c r="CC82" s="231">
        <f t="shared" si="353"/>
        <v>0.43063142698608503</v>
      </c>
      <c r="CD82" s="231">
        <f t="shared" si="354"/>
        <v>0.32977756289476462</v>
      </c>
      <c r="CE82" s="231">
        <f t="shared" si="355"/>
        <v>8.135177814665058E-2</v>
      </c>
      <c r="CF82" s="231">
        <f t="shared" si="268"/>
        <v>24.668681954148212</v>
      </c>
      <c r="CH82" s="232">
        <f t="shared" si="356"/>
        <v>1.4001013770223567</v>
      </c>
      <c r="CI82" s="232">
        <f t="shared" si="357"/>
        <v>1.52</v>
      </c>
      <c r="CJ82" s="232">
        <f t="shared" si="358"/>
        <v>2.1</v>
      </c>
      <c r="CK82" s="232">
        <f t="shared" si="359"/>
        <v>1.871761586839864</v>
      </c>
      <c r="CL82" s="232">
        <f t="shared" si="360"/>
        <v>1.6418130163152045</v>
      </c>
      <c r="CM82" s="232">
        <f t="shared" si="361"/>
        <v>1.4657599237485999</v>
      </c>
      <c r="CN82" s="232">
        <f t="shared" si="362"/>
        <v>1.4028443539775992</v>
      </c>
      <c r="CO82" s="232">
        <f t="shared" si="363"/>
        <v>1.7816966282799629</v>
      </c>
      <c r="CP82" s="232">
        <f t="shared" si="364"/>
        <v>1.52</v>
      </c>
      <c r="CQ82" s="232">
        <f t="shared" si="365"/>
        <v>1.4159610600956773</v>
      </c>
      <c r="CR82" s="232">
        <f t="shared" si="366"/>
        <v>1.6119937946279266</v>
      </c>
      <c r="CS82" s="232">
        <f t="shared" si="367"/>
        <v>0.23586681264070988</v>
      </c>
      <c r="CT82" s="232">
        <f t="shared" si="269"/>
        <v>14.631992593690576</v>
      </c>
      <c r="CV82" s="229">
        <f t="shared" si="270"/>
        <v>0.83</v>
      </c>
      <c r="CW82" s="229">
        <f t="shared" si="271"/>
        <v>1.19</v>
      </c>
      <c r="CX82" s="229">
        <f t="shared" si="272"/>
        <v>0.76322384651365094</v>
      </c>
      <c r="CY82" s="229">
        <f t="shared" si="273"/>
        <v>0.4968589688683922</v>
      </c>
      <c r="CZ82" s="229">
        <f t="shared" si="274"/>
        <v>1.1482172026496813</v>
      </c>
      <c r="DA82" s="229">
        <f t="shared" si="275"/>
        <v>0.83</v>
      </c>
      <c r="DB82" s="229">
        <f t="shared" si="276"/>
        <v>0.51530277110496536</v>
      </c>
      <c r="DC82" s="229">
        <f t="shared" si="277"/>
        <v>0.89</v>
      </c>
      <c r="DD82" s="229">
        <f t="shared" si="278"/>
        <v>0.83295034864208606</v>
      </c>
      <c r="DE82" s="229">
        <f t="shared" si="279"/>
        <v>0.25322742425884692</v>
      </c>
      <c r="DF82" s="229">
        <f t="shared" si="280"/>
        <v>30.401262772945582</v>
      </c>
      <c r="DH82" s="234">
        <f t="shared" si="368"/>
        <v>0.11544</v>
      </c>
      <c r="DI82" s="234">
        <f t="shared" si="369"/>
        <v>0.156</v>
      </c>
      <c r="DJ82" s="234">
        <f t="shared" si="370"/>
        <v>0.10591546340228283</v>
      </c>
      <c r="DK82" s="234">
        <f t="shared" si="281"/>
        <v>0.12578515446742763</v>
      </c>
      <c r="DL82" s="234">
        <f t="shared" si="282"/>
        <v>2.6596651429610749E-2</v>
      </c>
      <c r="DM82" s="234">
        <f t="shared" si="283"/>
        <v>21.144507507440409</v>
      </c>
      <c r="DO82" s="229">
        <f t="shared" si="371"/>
        <v>2.38</v>
      </c>
      <c r="DP82" s="229">
        <f t="shared" si="372"/>
        <v>3.49</v>
      </c>
      <c r="DQ82" s="229">
        <f t="shared" si="373"/>
        <v>3.6336159481031678</v>
      </c>
      <c r="DR82" s="229">
        <f t="shared" si="374"/>
        <v>2.8461702279871801</v>
      </c>
      <c r="DS82" s="229">
        <f t="shared" si="375"/>
        <v>2.5563412737354843</v>
      </c>
      <c r="DT82" s="229">
        <f t="shared" si="376"/>
        <v>2.38</v>
      </c>
      <c r="DU82" s="229">
        <f t="shared" si="377"/>
        <v>3.5255999999999998</v>
      </c>
      <c r="DV82" s="229">
        <f t="shared" si="378"/>
        <v>2.9213969769532757</v>
      </c>
      <c r="DW82" s="229">
        <f t="shared" si="284"/>
        <v>2.9666405533473883</v>
      </c>
      <c r="DX82" s="229">
        <f t="shared" si="285"/>
        <v>0.52159053557681845</v>
      </c>
      <c r="DY82" s="229">
        <f t="shared" si="286"/>
        <v>17.581858206188322</v>
      </c>
      <c r="EA82" s="235">
        <f t="shared" si="379"/>
        <v>0.14000000000000001</v>
      </c>
      <c r="EB82" s="235">
        <f t="shared" si="380"/>
        <v>0.20444685992761341</v>
      </c>
      <c r="EC82" s="235">
        <f t="shared" si="381"/>
        <v>0.14000000000000001</v>
      </c>
      <c r="ED82" s="235">
        <f t="shared" si="382"/>
        <v>0.1591376204882981</v>
      </c>
      <c r="EE82" s="235">
        <f t="shared" si="383"/>
        <v>0.13211803429192923</v>
      </c>
      <c r="EF82" s="235">
        <f t="shared" si="384"/>
        <v>0.15514050294156817</v>
      </c>
      <c r="EG82" s="235">
        <f t="shared" si="385"/>
        <v>2.9306985128500374E-2</v>
      </c>
      <c r="EH82" s="235">
        <f t="shared" si="287"/>
        <v>18.890608559866859</v>
      </c>
      <c r="EJ82" s="229">
        <f t="shared" si="386"/>
        <v>7.5426305676856105</v>
      </c>
      <c r="EK82" s="229">
        <f t="shared" si="387"/>
        <v>16.372446351574162</v>
      </c>
      <c r="EL82" s="229">
        <f t="shared" si="388"/>
        <v>6.91</v>
      </c>
      <c r="EM82" s="229">
        <f t="shared" si="389"/>
        <v>14.4</v>
      </c>
      <c r="EN82" s="229">
        <f t="shared" si="390"/>
        <v>22.112586779483966</v>
      </c>
      <c r="EO82" s="229">
        <f t="shared" si="391"/>
        <v>22.610688624207352</v>
      </c>
      <c r="EP82" s="229">
        <f t="shared" si="392"/>
        <v>17.860828991199547</v>
      </c>
      <c r="EQ82" s="229">
        <f t="shared" si="393"/>
        <v>15.401311616307234</v>
      </c>
      <c r="ER82" s="229">
        <f t="shared" si="394"/>
        <v>6.3096820481370992</v>
      </c>
      <c r="ES82" s="229">
        <f t="shared" si="288"/>
        <v>40.968472071276537</v>
      </c>
      <c r="EU82" s="238">
        <f t="shared" si="395"/>
        <v>1.5155963856028394E-2</v>
      </c>
      <c r="EV82" s="238">
        <f t="shared" si="396"/>
        <v>1.5155963856028394E-2</v>
      </c>
      <c r="EW82" s="238" t="e">
        <f t="shared" si="397"/>
        <v>#DIV/0!</v>
      </c>
      <c r="EX82" s="238" t="e">
        <f t="shared" si="289"/>
        <v>#DIV/0!</v>
      </c>
      <c r="EZ82" s="240">
        <f t="shared" si="398"/>
        <v>2.5916698193808554E-2</v>
      </c>
      <c r="FA82" s="240">
        <f t="shared" si="399"/>
        <v>2.5916698193808554E-2</v>
      </c>
      <c r="FB82" s="240" t="e">
        <f t="shared" si="400"/>
        <v>#DIV/0!</v>
      </c>
      <c r="FC82" s="240" t="e">
        <f t="shared" si="290"/>
        <v>#DIV/0!</v>
      </c>
      <c r="FE82" s="236">
        <f t="shared" si="401"/>
        <v>0.9</v>
      </c>
      <c r="FF82" s="236">
        <f t="shared" si="402"/>
        <v>1.2</v>
      </c>
      <c r="FG82" s="236">
        <f t="shared" si="403"/>
        <v>1.2404432772703538</v>
      </c>
      <c r="FH82" s="236">
        <f t="shared" si="404"/>
        <v>1.2503670181223425</v>
      </c>
      <c r="FI82" s="236">
        <f t="shared" si="405"/>
        <v>0.9</v>
      </c>
      <c r="FJ82" s="236">
        <f t="shared" si="406"/>
        <v>1.0609174699219874</v>
      </c>
      <c r="FK82" s="236">
        <f t="shared" si="291"/>
        <v>1.0919546275524474</v>
      </c>
      <c r="FL82" s="236">
        <f t="shared" si="292"/>
        <v>0.16338520760449565</v>
      </c>
      <c r="FM82" s="236">
        <f t="shared" si="293"/>
        <v>14.962637043877368</v>
      </c>
      <c r="FO82" s="227">
        <f t="shared" si="407"/>
        <v>0.3</v>
      </c>
      <c r="FP82" s="227">
        <f t="shared" si="408"/>
        <v>0.32</v>
      </c>
      <c r="FQ82" s="227">
        <f t="shared" si="409"/>
        <v>0.33214754341657177</v>
      </c>
      <c r="FR82" s="227">
        <f t="shared" si="410"/>
        <v>0.3</v>
      </c>
      <c r="FS82" s="227">
        <f t="shared" si="411"/>
        <v>0.34100918676063879</v>
      </c>
      <c r="FT82" s="227">
        <f t="shared" si="294"/>
        <v>0.31863134603544213</v>
      </c>
      <c r="FU82" s="227">
        <f t="shared" si="295"/>
        <v>1.8571366879065451E-2</v>
      </c>
      <c r="FV82" s="227">
        <f t="shared" si="296"/>
        <v>5.8284808165106625</v>
      </c>
      <c r="FX82" s="230">
        <f t="shared" si="412"/>
        <v>2.94</v>
      </c>
      <c r="FY82" s="230">
        <f t="shared" si="413"/>
        <v>1.5913762048829814</v>
      </c>
      <c r="FZ82" s="230">
        <f t="shared" si="414"/>
        <v>2.94</v>
      </c>
      <c r="GA82" s="230">
        <f t="shared" si="415"/>
        <v>3.7885501396915622</v>
      </c>
      <c r="GB82" s="230">
        <f t="shared" si="297"/>
        <v>2.8149815861436358</v>
      </c>
      <c r="GC82" s="230">
        <f t="shared" si="298"/>
        <v>0.90853454623618213</v>
      </c>
      <c r="GD82" s="230">
        <f t="shared" si="299"/>
        <v>32.274972977028341</v>
      </c>
      <c r="GF82" s="231">
        <f t="shared" si="416"/>
        <v>0.06</v>
      </c>
      <c r="GG82" s="231">
        <f t="shared" si="417"/>
        <v>0.05</v>
      </c>
      <c r="GH82" s="231">
        <f t="shared" si="418"/>
        <v>0.06</v>
      </c>
      <c r="GI82" s="231">
        <f t="shared" si="419"/>
        <v>6.0623855424113575E-2</v>
      </c>
      <c r="GJ82" s="245">
        <f t="shared" si="432"/>
        <v>5.7655963856028392E-2</v>
      </c>
      <c r="GK82" s="231">
        <f t="shared" si="433"/>
        <v>5.1124414850185085E-3</v>
      </c>
      <c r="GL82" s="231">
        <f t="shared" si="300"/>
        <v>8.8671511897445487</v>
      </c>
      <c r="GN82" s="246">
        <f t="shared" si="420"/>
        <v>0.18</v>
      </c>
      <c r="GO82" s="246">
        <f t="shared" si="421"/>
        <v>0.18</v>
      </c>
      <c r="GP82" s="246">
        <f t="shared" si="422"/>
        <v>0.1591376204882981</v>
      </c>
      <c r="GQ82" s="247">
        <f t="shared" si="434"/>
        <v>0.17304587349609934</v>
      </c>
      <c r="GR82" s="246">
        <f t="shared" si="438"/>
        <v>1.2044900427017219E-2</v>
      </c>
      <c r="GS82" s="246">
        <f t="shared" si="301"/>
        <v>6.9605245035148009</v>
      </c>
      <c r="GU82" s="249">
        <f t="shared" si="423"/>
        <v>2.0763670482758897E-2</v>
      </c>
      <c r="GV82" s="249">
        <f t="shared" si="424"/>
        <v>2.0763670482758897E-2</v>
      </c>
      <c r="GW82" s="249" t="e">
        <f t="shared" si="425"/>
        <v>#DIV/0!</v>
      </c>
      <c r="GX82" s="249" t="e">
        <f t="shared" si="302"/>
        <v>#DIV/0!</v>
      </c>
      <c r="GZ82" s="240">
        <f t="shared" si="426"/>
        <v>2.2733945784042593E-2</v>
      </c>
      <c r="HA82" s="240">
        <f t="shared" si="427"/>
        <v>2.2733945784042593E-2</v>
      </c>
      <c r="HB82" s="240" t="e">
        <f t="shared" si="428"/>
        <v>#DIV/0!</v>
      </c>
      <c r="HC82" s="240" t="e">
        <f t="shared" si="303"/>
        <v>#DIV/0!</v>
      </c>
      <c r="HE82" s="234">
        <f t="shared" si="429"/>
        <v>8.9747784943368922E-2</v>
      </c>
      <c r="HF82" s="251">
        <f t="shared" si="430"/>
        <v>8.9747784943368922E-2</v>
      </c>
      <c r="HG82" s="234" t="e">
        <f t="shared" si="431"/>
        <v>#DIV/0!</v>
      </c>
      <c r="HH82" s="234" t="e">
        <f t="shared" si="304"/>
        <v>#DIV/0!</v>
      </c>
    </row>
    <row r="83" spans="2:216" ht="15.6" x14ac:dyDescent="0.25">
      <c r="B83">
        <v>79</v>
      </c>
      <c r="C83" s="124">
        <f t="shared" si="305"/>
        <v>75.884918051073328</v>
      </c>
      <c r="D83" s="124">
        <f t="shared" si="306"/>
        <v>170.12239622540801</v>
      </c>
      <c r="E83" s="29">
        <f t="shared" si="254"/>
        <v>1.931952139197977</v>
      </c>
      <c r="F83" s="29">
        <f t="shared" si="255"/>
        <v>1.8738485169486612</v>
      </c>
      <c r="G83" s="29">
        <f t="shared" si="256"/>
        <v>1.9078509070796892</v>
      </c>
      <c r="H83" s="29">
        <f t="shared" si="257"/>
        <v>1.931952139197977</v>
      </c>
      <c r="I83" s="29">
        <f t="shared" si="258"/>
        <v>1.8936827799743747</v>
      </c>
      <c r="J83" s="125">
        <f t="shared" si="259"/>
        <v>1.907857296479736</v>
      </c>
      <c r="K83" s="126">
        <f t="shared" si="307"/>
        <v>2.5093011653705463E-2</v>
      </c>
      <c r="L83" s="126">
        <f t="shared" si="308"/>
        <v>1.3152457314289483</v>
      </c>
      <c r="N83" s="138">
        <f t="shared" si="309"/>
        <v>400.65003226074452</v>
      </c>
      <c r="O83" s="138">
        <f t="shared" si="310"/>
        <v>325.79239999999999</v>
      </c>
      <c r="P83" s="138">
        <f t="shared" si="311"/>
        <v>289.71449735200548</v>
      </c>
      <c r="Q83" s="138">
        <f t="shared" si="312"/>
        <v>407.37062992571629</v>
      </c>
      <c r="R83" s="138">
        <f t="shared" si="313"/>
        <v>400.65003226074452</v>
      </c>
      <c r="S83" s="138">
        <f t="shared" si="314"/>
        <v>284.97630000000004</v>
      </c>
      <c r="T83" s="138">
        <f t="shared" si="315"/>
        <v>351.52564863320185</v>
      </c>
      <c r="U83" s="138">
        <f t="shared" si="316"/>
        <v>58.063252372841568</v>
      </c>
      <c r="V83" s="138">
        <f t="shared" si="317"/>
        <v>16.517500955791551</v>
      </c>
      <c r="X83" s="227">
        <f t="shared" si="318"/>
        <v>0.45193226585000007</v>
      </c>
      <c r="Y83" s="227">
        <f t="shared" si="319"/>
        <v>0.47</v>
      </c>
      <c r="Z83" s="227">
        <f t="shared" si="320"/>
        <v>0.45193226585000007</v>
      </c>
      <c r="AA83" s="227">
        <f t="shared" si="321"/>
        <v>0.45795484390000002</v>
      </c>
      <c r="AB83" s="227">
        <f t="shared" si="322"/>
        <v>1.0431411175149039E-2</v>
      </c>
      <c r="AC83" s="227">
        <f t="shared" si="323"/>
        <v>2.2778252734077129</v>
      </c>
      <c r="AE83" s="228">
        <f t="shared" si="324"/>
        <v>4.2252804579797472</v>
      </c>
      <c r="AF83" s="228">
        <f t="shared" si="325"/>
        <v>5.2850000000000001</v>
      </c>
      <c r="AG83" s="228">
        <f t="shared" si="326"/>
        <v>4.2252804579797472</v>
      </c>
      <c r="AH83" s="228">
        <f t="shared" si="327"/>
        <v>6.8048619526937211</v>
      </c>
      <c r="AI83" s="228">
        <f t="shared" si="328"/>
        <v>5.2850000000000001</v>
      </c>
      <c r="AJ83" s="228">
        <f t="shared" si="329"/>
        <v>5.7748422636866801</v>
      </c>
      <c r="AK83" s="228">
        <f t="shared" si="330"/>
        <v>5.2294007521486048</v>
      </c>
      <c r="AL83" s="228">
        <f t="shared" si="331"/>
        <v>5.2613808406412144</v>
      </c>
      <c r="AM83" s="228">
        <f t="shared" si="332"/>
        <v>0.89397269137623847</v>
      </c>
      <c r="AN83" s="228">
        <f t="shared" si="333"/>
        <v>16.991218055739303</v>
      </c>
      <c r="AP83" s="229">
        <f t="shared" si="192"/>
        <v>1.4273502735387273</v>
      </c>
      <c r="AQ83" s="229">
        <f t="shared" si="193"/>
        <v>1.4</v>
      </c>
      <c r="AR83" s="229">
        <f t="shared" si="194"/>
        <v>1.47</v>
      </c>
      <c r="AS83" s="229">
        <f t="shared" si="195"/>
        <v>1.3115145681411553</v>
      </c>
      <c r="AT83" s="229">
        <f t="shared" si="196"/>
        <v>1.4273502735387273</v>
      </c>
      <c r="AU83" s="229">
        <f t="shared" si="197"/>
        <v>1.5370511037872421</v>
      </c>
      <c r="AV83" s="229">
        <f t="shared" si="198"/>
        <v>1.4</v>
      </c>
      <c r="AW83" s="229">
        <f t="shared" si="199"/>
        <v>1.4499999999999991</v>
      </c>
      <c r="AX83" s="229">
        <f t="shared" si="200"/>
        <v>1.3392257593697441</v>
      </c>
      <c r="AY83" s="229">
        <f t="shared" si="334"/>
        <v>1.4180546642639551</v>
      </c>
      <c r="AZ83" s="229">
        <f t="shared" si="335"/>
        <v>6.733175498498184E-2</v>
      </c>
      <c r="BA83" s="229">
        <f t="shared" si="336"/>
        <v>4.7481776747958131</v>
      </c>
      <c r="BC83" s="230">
        <f t="shared" si="337"/>
        <v>9.65</v>
      </c>
      <c r="BD83" s="230">
        <f t="shared" si="338"/>
        <v>11.73</v>
      </c>
      <c r="BE83" s="230">
        <f t="shared" si="339"/>
        <v>9.65</v>
      </c>
      <c r="BF83" s="230">
        <f t="shared" si="340"/>
        <v>8.7382769230769224</v>
      </c>
      <c r="BG83" s="230">
        <f t="shared" si="436"/>
        <v>9.9420692307692313</v>
      </c>
      <c r="BH83" s="230">
        <f t="shared" si="437"/>
        <v>1.2670729032887162</v>
      </c>
      <c r="BI83" s="230">
        <f t="shared" si="343"/>
        <v>12.744559244943831</v>
      </c>
      <c r="BK83" s="227">
        <f t="shared" si="260"/>
        <v>19.600000000000001</v>
      </c>
      <c r="BL83" s="227">
        <f t="shared" si="261"/>
        <v>31.73</v>
      </c>
      <c r="BM83" s="227">
        <f t="shared" si="262"/>
        <v>38.78196269445305</v>
      </c>
      <c r="BN83" s="227">
        <f t="shared" si="263"/>
        <v>22.437360727572042</v>
      </c>
      <c r="BO83" s="227">
        <f t="shared" si="264"/>
        <v>19.600000000000001</v>
      </c>
      <c r="BP83" s="227">
        <f t="shared" si="265"/>
        <v>18.737113387663303</v>
      </c>
      <c r="BQ83" s="227">
        <f t="shared" si="266"/>
        <v>31.86</v>
      </c>
      <c r="BR83" s="227">
        <f t="shared" si="344"/>
        <v>26.106633829955481</v>
      </c>
      <c r="BS83" s="227">
        <f t="shared" si="345"/>
        <v>7.9355045569018419</v>
      </c>
      <c r="BT83" s="227">
        <f t="shared" si="267"/>
        <v>30.396506147017782</v>
      </c>
      <c r="BV83" s="231">
        <f t="shared" si="346"/>
        <v>0.26</v>
      </c>
      <c r="BW83" s="231">
        <f t="shared" si="347"/>
        <v>0.28315329809680773</v>
      </c>
      <c r="BX83" s="231">
        <f t="shared" si="348"/>
        <v>0.31119542875438694</v>
      </c>
      <c r="BY83" s="231">
        <f t="shared" si="349"/>
        <v>0.26</v>
      </c>
      <c r="BZ83" s="231">
        <f t="shared" si="350"/>
        <v>0.31871666454553588</v>
      </c>
      <c r="CA83" s="231">
        <f t="shared" si="351"/>
        <v>0.29812216611476533</v>
      </c>
      <c r="CB83" s="231">
        <f t="shared" si="352"/>
        <v>0.48</v>
      </c>
      <c r="CC83" s="231">
        <f t="shared" si="353"/>
        <v>0.43737262769144025</v>
      </c>
      <c r="CD83" s="231">
        <f t="shared" si="354"/>
        <v>0.33107002315036704</v>
      </c>
      <c r="CE83" s="231">
        <f t="shared" si="355"/>
        <v>8.2385380908574335E-2</v>
      </c>
      <c r="CF83" s="231">
        <f t="shared" si="268"/>
        <v>24.884578834597818</v>
      </c>
      <c r="CH83" s="232">
        <f t="shared" si="356"/>
        <v>1.4093449849505486</v>
      </c>
      <c r="CI83" s="232">
        <f t="shared" si="357"/>
        <v>1.52</v>
      </c>
      <c r="CJ83" s="232">
        <f t="shared" si="358"/>
        <v>2.1</v>
      </c>
      <c r="CK83" s="232">
        <f t="shared" si="359"/>
        <v>1.8743575166230824</v>
      </c>
      <c r="CL83" s="232">
        <f t="shared" si="360"/>
        <v>1.6401210352051541</v>
      </c>
      <c r="CM83" s="232">
        <f t="shared" si="361"/>
        <v>1.4673453107563315</v>
      </c>
      <c r="CN83" s="232">
        <f t="shared" si="362"/>
        <v>1.4121060713112572</v>
      </c>
      <c r="CO83" s="232">
        <f t="shared" si="363"/>
        <v>1.7840803066235587</v>
      </c>
      <c r="CP83" s="232">
        <f t="shared" si="364"/>
        <v>1.52</v>
      </c>
      <c r="CQ83" s="232">
        <f t="shared" si="365"/>
        <v>1.4258208328370776</v>
      </c>
      <c r="CR83" s="232">
        <f t="shared" si="366"/>
        <v>1.6153176058307008</v>
      </c>
      <c r="CS83" s="232">
        <f t="shared" si="367"/>
        <v>0.23352614063759422</v>
      </c>
      <c r="CT83" s="232">
        <f t="shared" si="269"/>
        <v>14.456979840661116</v>
      </c>
      <c r="CV83" s="229">
        <f t="shared" si="270"/>
        <v>0.83</v>
      </c>
      <c r="CW83" s="229">
        <f t="shared" si="271"/>
        <v>1.19</v>
      </c>
      <c r="CX83" s="229">
        <f t="shared" si="272"/>
        <v>0.76658260795066802</v>
      </c>
      <c r="CY83" s="229">
        <f t="shared" si="273"/>
        <v>0.5038739628780603</v>
      </c>
      <c r="CZ83" s="229">
        <f t="shared" si="274"/>
        <v>1.1494467799133399</v>
      </c>
      <c r="DA83" s="229">
        <f t="shared" si="275"/>
        <v>0.83</v>
      </c>
      <c r="DB83" s="229">
        <f t="shared" si="276"/>
        <v>0.51601744274729855</v>
      </c>
      <c r="DC83" s="229">
        <f t="shared" si="277"/>
        <v>0.89</v>
      </c>
      <c r="DD83" s="229">
        <f t="shared" si="278"/>
        <v>0.8344900991861709</v>
      </c>
      <c r="DE83" s="229">
        <f t="shared" si="279"/>
        <v>0.25186446503555759</v>
      </c>
      <c r="DF83" s="229">
        <f t="shared" si="280"/>
        <v>30.181839818253831</v>
      </c>
      <c r="DH83" s="234">
        <f t="shared" si="368"/>
        <v>0.11692</v>
      </c>
      <c r="DI83" s="234">
        <f t="shared" si="369"/>
        <v>0.158</v>
      </c>
      <c r="DJ83" s="234">
        <f t="shared" si="370"/>
        <v>0.10702360929748143</v>
      </c>
      <c r="DK83" s="234">
        <f t="shared" si="281"/>
        <v>0.12731453643249382</v>
      </c>
      <c r="DL83" s="234">
        <f t="shared" si="282"/>
        <v>2.7031146720011386E-2</v>
      </c>
      <c r="DM83" s="234">
        <f t="shared" si="283"/>
        <v>21.231783484790167</v>
      </c>
      <c r="DO83" s="229">
        <f t="shared" si="371"/>
        <v>2.38</v>
      </c>
      <c r="DP83" s="229">
        <f t="shared" si="372"/>
        <v>3.49</v>
      </c>
      <c r="DQ83" s="229">
        <f t="shared" si="373"/>
        <v>3.6535934814686577</v>
      </c>
      <c r="DR83" s="229">
        <f t="shared" si="374"/>
        <v>2.8617859447196037</v>
      </c>
      <c r="DS83" s="229">
        <f t="shared" si="375"/>
        <v>2.5590257516599784</v>
      </c>
      <c r="DT83" s="229">
        <f t="shared" si="376"/>
        <v>2.38</v>
      </c>
      <c r="DU83" s="229">
        <f t="shared" si="377"/>
        <v>3.5707999999999998</v>
      </c>
      <c r="DV83" s="229">
        <f t="shared" si="378"/>
        <v>2.9717027417916779</v>
      </c>
      <c r="DW83" s="229">
        <f t="shared" si="284"/>
        <v>2.9833634899549897</v>
      </c>
      <c r="DX83" s="229">
        <f t="shared" si="285"/>
        <v>0.53104277993998683</v>
      </c>
      <c r="DY83" s="229">
        <f t="shared" si="286"/>
        <v>17.800136715757649</v>
      </c>
      <c r="EA83" s="235">
        <f t="shared" si="379"/>
        <v>0.14000000000000001</v>
      </c>
      <c r="EB83" s="235">
        <f t="shared" si="380"/>
        <v>0.2046859835323159</v>
      </c>
      <c r="EC83" s="235">
        <f t="shared" si="381"/>
        <v>0.14000000000000001</v>
      </c>
      <c r="ED83" s="235">
        <f t="shared" si="382"/>
        <v>0.15935832790725399</v>
      </c>
      <c r="EE83" s="235">
        <f t="shared" si="383"/>
        <v>0.13338152037310089</v>
      </c>
      <c r="EF83" s="235">
        <f t="shared" si="384"/>
        <v>0.15548516636253418</v>
      </c>
      <c r="EG83" s="235">
        <f t="shared" si="385"/>
        <v>2.9171363145654782E-2</v>
      </c>
      <c r="EH83" s="235">
        <f t="shared" si="287"/>
        <v>18.761508784470092</v>
      </c>
      <c r="EJ83" s="229">
        <f t="shared" si="386"/>
        <v>7.5426305676856105</v>
      </c>
      <c r="EK83" s="229">
        <f t="shared" si="387"/>
        <v>16.355548768907422</v>
      </c>
      <c r="EL83" s="229">
        <f t="shared" si="388"/>
        <v>6.91</v>
      </c>
      <c r="EM83" s="229">
        <f t="shared" si="389"/>
        <v>14.4</v>
      </c>
      <c r="EN83" s="229">
        <f t="shared" si="390"/>
        <v>22.092047154288746</v>
      </c>
      <c r="EO83" s="229">
        <f t="shared" si="391"/>
        <v>22.514675733190387</v>
      </c>
      <c r="EP83" s="229">
        <f t="shared" si="392"/>
        <v>17.9290788673047</v>
      </c>
      <c r="EQ83" s="229">
        <f t="shared" si="393"/>
        <v>15.391997298768123</v>
      </c>
      <c r="ER83" s="229">
        <f t="shared" si="394"/>
        <v>6.2919171080013365</v>
      </c>
      <c r="ES83" s="229">
        <f t="shared" si="288"/>
        <v>40.87784701277787</v>
      </c>
      <c r="EU83" s="238">
        <f t="shared" si="395"/>
        <v>1.5176983610214667E-2</v>
      </c>
      <c r="EV83" s="238">
        <f t="shared" si="396"/>
        <v>1.5176983610214667E-2</v>
      </c>
      <c r="EW83" s="238" t="e">
        <f t="shared" si="397"/>
        <v>#DIV/0!</v>
      </c>
      <c r="EX83" s="238" t="e">
        <f t="shared" si="289"/>
        <v>#DIV/0!</v>
      </c>
      <c r="EZ83" s="240">
        <f t="shared" si="398"/>
        <v>2.595264197346708E-2</v>
      </c>
      <c r="FA83" s="240">
        <f t="shared" si="399"/>
        <v>2.595264197346708E-2</v>
      </c>
      <c r="FB83" s="240" t="e">
        <f t="shared" si="400"/>
        <v>#DIV/0!</v>
      </c>
      <c r="FC83" s="240" t="e">
        <f t="shared" si="290"/>
        <v>#DIV/0!</v>
      </c>
      <c r="FE83" s="236">
        <f t="shared" si="401"/>
        <v>0.9</v>
      </c>
      <c r="FF83" s="236">
        <f t="shared" si="402"/>
        <v>1.2</v>
      </c>
      <c r="FG83" s="236">
        <f t="shared" si="403"/>
        <v>1.2428785522396204</v>
      </c>
      <c r="FH83" s="236">
        <f t="shared" si="404"/>
        <v>1.25210114784271</v>
      </c>
      <c r="FI83" s="236">
        <f t="shared" si="405"/>
        <v>0.9</v>
      </c>
      <c r="FJ83" s="236">
        <f t="shared" si="406"/>
        <v>1.0623888527150267</v>
      </c>
      <c r="FK83" s="236">
        <f t="shared" si="291"/>
        <v>1.0928947587995597</v>
      </c>
      <c r="FL83" s="236">
        <f t="shared" si="292"/>
        <v>0.1641101651636189</v>
      </c>
      <c r="FM83" s="236">
        <f t="shared" si="293"/>
        <v>15.016099568807359</v>
      </c>
      <c r="FO83" s="227">
        <f t="shared" si="407"/>
        <v>0.3</v>
      </c>
      <c r="FP83" s="227">
        <f t="shared" si="408"/>
        <v>0.32</v>
      </c>
      <c r="FQ83" s="227">
        <f t="shared" si="409"/>
        <v>0.33543502439029765</v>
      </c>
      <c r="FR83" s="227">
        <f t="shared" si="410"/>
        <v>0.3</v>
      </c>
      <c r="FS83" s="227">
        <f t="shared" si="411"/>
        <v>0.34148213122982995</v>
      </c>
      <c r="FT83" s="227">
        <f t="shared" si="294"/>
        <v>0.31938343112402551</v>
      </c>
      <c r="FU83" s="227">
        <f t="shared" si="295"/>
        <v>1.9350847230874785E-2</v>
      </c>
      <c r="FV83" s="227">
        <f t="shared" si="296"/>
        <v>6.0588137470914427</v>
      </c>
      <c r="FX83" s="230">
        <f t="shared" si="412"/>
        <v>2.94</v>
      </c>
      <c r="FY83" s="230">
        <f t="shared" si="413"/>
        <v>1.5935832790725399</v>
      </c>
      <c r="FZ83" s="230">
        <f t="shared" si="414"/>
        <v>2.94</v>
      </c>
      <c r="GA83" s="230">
        <f t="shared" si="415"/>
        <v>3.7938512395070476</v>
      </c>
      <c r="GB83" s="230">
        <f t="shared" si="297"/>
        <v>2.8168586296448965</v>
      </c>
      <c r="GC83" s="230">
        <f t="shared" si="298"/>
        <v>0.90944025591368527</v>
      </c>
      <c r="GD83" s="230">
        <f t="shared" si="299"/>
        <v>32.285619389721823</v>
      </c>
      <c r="GF83" s="231">
        <f t="shared" si="416"/>
        <v>0.06</v>
      </c>
      <c r="GG83" s="231">
        <f t="shared" si="417"/>
        <v>0.05</v>
      </c>
      <c r="GH83" s="231">
        <f t="shared" si="418"/>
        <v>0.06</v>
      </c>
      <c r="GI83" s="231">
        <f t="shared" si="419"/>
        <v>6.0707934440858667E-2</v>
      </c>
      <c r="GJ83" s="245">
        <f t="shared" si="432"/>
        <v>5.7676983610214665E-2</v>
      </c>
      <c r="GK83" s="231">
        <f t="shared" si="433"/>
        <v>5.1288579165251679E-3</v>
      </c>
      <c r="GL83" s="231">
        <f t="shared" si="300"/>
        <v>8.8923823603300249</v>
      </c>
      <c r="GN83" s="246">
        <f t="shared" si="420"/>
        <v>0.18</v>
      </c>
      <c r="GO83" s="246">
        <f t="shared" si="421"/>
        <v>0.18</v>
      </c>
      <c r="GP83" s="246">
        <f t="shared" si="422"/>
        <v>0.15935832790725399</v>
      </c>
      <c r="GQ83" s="247">
        <f t="shared" si="434"/>
        <v>0.17311944263575132</v>
      </c>
      <c r="GR83" s="246">
        <f t="shared" si="438"/>
        <v>1.1917474939270893E-2</v>
      </c>
      <c r="GS83" s="246">
        <f t="shared" si="301"/>
        <v>6.8839610143302217</v>
      </c>
      <c r="GU83" s="249">
        <f t="shared" si="423"/>
        <v>2.0792467545994092E-2</v>
      </c>
      <c r="GV83" s="249">
        <f t="shared" si="424"/>
        <v>2.0792467545994092E-2</v>
      </c>
      <c r="GW83" s="249" t="e">
        <f t="shared" si="425"/>
        <v>#DIV/0!</v>
      </c>
      <c r="GX83" s="249" t="e">
        <f t="shared" si="302"/>
        <v>#DIV/0!</v>
      </c>
      <c r="GZ83" s="240">
        <f t="shared" si="426"/>
        <v>2.2765475415321999E-2</v>
      </c>
      <c r="HA83" s="240">
        <f t="shared" si="427"/>
        <v>2.2765475415321999E-2</v>
      </c>
      <c r="HB83" s="240" t="e">
        <f t="shared" si="428"/>
        <v>#DIV/0!</v>
      </c>
      <c r="HC83" s="240" t="e">
        <f t="shared" si="303"/>
        <v>#DIV/0!</v>
      </c>
      <c r="HE83" s="234">
        <f t="shared" si="429"/>
        <v>8.9872852480777241E-2</v>
      </c>
      <c r="HF83" s="251">
        <f t="shared" si="430"/>
        <v>8.9872852480777241E-2</v>
      </c>
      <c r="HG83" s="234" t="e">
        <f t="shared" si="431"/>
        <v>#DIV/0!</v>
      </c>
      <c r="HH83" s="234" t="e">
        <f t="shared" si="304"/>
        <v>#DIV/0!</v>
      </c>
    </row>
    <row r="84" spans="2:216" ht="15.6" x14ac:dyDescent="0.25">
      <c r="B84">
        <v>80</v>
      </c>
      <c r="C84" s="124">
        <f t="shared" si="305"/>
        <v>77.409895129036158</v>
      </c>
      <c r="D84" s="124">
        <f t="shared" si="306"/>
        <v>172.42447909171187</v>
      </c>
      <c r="E84" s="29">
        <f t="shared" si="254"/>
        <v>1.963095418509105</v>
      </c>
      <c r="F84" s="29">
        <f t="shared" si="255"/>
        <v>1.9082665876216933</v>
      </c>
      <c r="G84" s="29">
        <f t="shared" si="256"/>
        <v>1.9384649324237238</v>
      </c>
      <c r="H84" s="29">
        <f t="shared" si="257"/>
        <v>1.963095418509105</v>
      </c>
      <c r="I84" s="29">
        <f t="shared" si="258"/>
        <v>1.9255129795696366</v>
      </c>
      <c r="J84" s="125">
        <f t="shared" si="259"/>
        <v>1.9396870673266526</v>
      </c>
      <c r="K84" s="126">
        <f t="shared" si="307"/>
        <v>2.3903696013986741E-2</v>
      </c>
      <c r="L84" s="126">
        <f t="shared" si="308"/>
        <v>1.2323480635941799</v>
      </c>
      <c r="N84" s="138">
        <f t="shared" si="309"/>
        <v>407.33428413859701</v>
      </c>
      <c r="O84" s="138">
        <f t="shared" si="310"/>
        <v>325.79239999999999</v>
      </c>
      <c r="P84" s="138">
        <f t="shared" si="311"/>
        <v>294.94841462371096</v>
      </c>
      <c r="Q84" s="138">
        <f t="shared" si="312"/>
        <v>413.58488529535333</v>
      </c>
      <c r="R84" s="138">
        <f t="shared" si="313"/>
        <v>407.33428413859701</v>
      </c>
      <c r="S84" s="138">
        <f t="shared" si="314"/>
        <v>280.08</v>
      </c>
      <c r="T84" s="138">
        <f t="shared" si="315"/>
        <v>354.84571136604308</v>
      </c>
      <c r="U84" s="138">
        <f t="shared" si="316"/>
        <v>61.615069182366234</v>
      </c>
      <c r="V84" s="138">
        <f t="shared" si="317"/>
        <v>17.363904144471078</v>
      </c>
      <c r="X84" s="227">
        <f t="shared" si="318"/>
        <v>0.45407019999999992</v>
      </c>
      <c r="Y84" s="227">
        <f t="shared" si="319"/>
        <v>0.47</v>
      </c>
      <c r="Z84" s="227">
        <f t="shared" si="320"/>
        <v>0.45407019999999992</v>
      </c>
      <c r="AA84" s="227">
        <f t="shared" si="321"/>
        <v>0.45938013333333322</v>
      </c>
      <c r="AB84" s="227">
        <f t="shared" si="322"/>
        <v>9.1970743181369295E-3</v>
      </c>
      <c r="AC84" s="227">
        <f t="shared" si="323"/>
        <v>2.0020618330622044</v>
      </c>
      <c r="AE84" s="228">
        <f t="shared" si="324"/>
        <v>4.3105968173070961</v>
      </c>
      <c r="AF84" s="228">
        <f t="shared" si="325"/>
        <v>5.2850000000000001</v>
      </c>
      <c r="AG84" s="228">
        <f t="shared" si="326"/>
        <v>4.3105968173070961</v>
      </c>
      <c r="AH84" s="228">
        <f t="shared" si="327"/>
        <v>6.941570594288379</v>
      </c>
      <c r="AI84" s="228">
        <f t="shared" si="328"/>
        <v>5.2850000000000001</v>
      </c>
      <c r="AJ84" s="228">
        <f t="shared" si="329"/>
        <v>5.8908930193196518</v>
      </c>
      <c r="AK84" s="228">
        <f t="shared" si="330"/>
        <v>5.3293942775450498</v>
      </c>
      <c r="AL84" s="228">
        <f t="shared" si="331"/>
        <v>5.336150217966753</v>
      </c>
      <c r="AM84" s="228">
        <f t="shared" si="332"/>
        <v>0.91231500845356972</v>
      </c>
      <c r="AN84" s="228">
        <f t="shared" si="333"/>
        <v>17.096876421915862</v>
      </c>
      <c r="AP84" s="229">
        <f t="shared" si="192"/>
        <v>1.4275684322787059</v>
      </c>
      <c r="AQ84" s="229">
        <f t="shared" si="193"/>
        <v>1.4</v>
      </c>
      <c r="AR84" s="229">
        <f t="shared" si="194"/>
        <v>1.47</v>
      </c>
      <c r="AS84" s="229">
        <f t="shared" si="195"/>
        <v>1.3247895599926423</v>
      </c>
      <c r="AT84" s="229">
        <f t="shared" si="196"/>
        <v>1.4275684322787059</v>
      </c>
      <c r="AU84" s="229">
        <f t="shared" si="197"/>
        <v>1.5323337309100733</v>
      </c>
      <c r="AV84" s="229">
        <f t="shared" si="198"/>
        <v>1.4</v>
      </c>
      <c r="AW84" s="229">
        <f t="shared" si="199"/>
        <v>1.4499999999999993</v>
      </c>
      <c r="AX84" s="229">
        <f t="shared" si="200"/>
        <v>1.3370983161965675</v>
      </c>
      <c r="AY84" s="229">
        <f t="shared" si="334"/>
        <v>1.4188176079618549</v>
      </c>
      <c r="AZ84" s="229">
        <f t="shared" si="335"/>
        <v>6.4088380421047836E-2</v>
      </c>
      <c r="BA84" s="229">
        <f t="shared" si="336"/>
        <v>4.5170274220878479</v>
      </c>
      <c r="BC84" s="230">
        <f t="shared" si="337"/>
        <v>9.65</v>
      </c>
      <c r="BD84" s="230">
        <f t="shared" si="338"/>
        <v>11.73</v>
      </c>
      <c r="BE84" s="230">
        <f t="shared" si="339"/>
        <v>9.65</v>
      </c>
      <c r="BF84" s="230">
        <f t="shared" si="340"/>
        <v>8.7324307692307688</v>
      </c>
      <c r="BG84" s="230">
        <f t="shared" si="436"/>
        <v>9.940607692307692</v>
      </c>
      <c r="BH84" s="230">
        <f t="shared" si="437"/>
        <v>1.2689263138497355</v>
      </c>
      <c r="BI84" s="230">
        <f t="shared" si="343"/>
        <v>12.765077881824716</v>
      </c>
      <c r="BK84" s="227">
        <f t="shared" si="260"/>
        <v>19.600000000000001</v>
      </c>
      <c r="BL84" s="227">
        <f t="shared" si="261"/>
        <v>31.73</v>
      </c>
      <c r="BM84" s="227">
        <f t="shared" si="262"/>
        <v>39.451482932984042</v>
      </c>
      <c r="BN84" s="227">
        <f t="shared" si="263"/>
        <v>22.594667924871228</v>
      </c>
      <c r="BO84" s="227">
        <f t="shared" si="264"/>
        <v>19.600000000000001</v>
      </c>
      <c r="BP84" s="227">
        <f t="shared" si="265"/>
        <v>18.684131505472315</v>
      </c>
      <c r="BQ84" s="227">
        <f t="shared" si="266"/>
        <v>31.86</v>
      </c>
      <c r="BR84" s="227">
        <f t="shared" si="344"/>
        <v>26.217183194761081</v>
      </c>
      <c r="BS84" s="227">
        <f t="shared" si="345"/>
        <v>8.1119554946888766</v>
      </c>
      <c r="BT84" s="227">
        <f t="shared" si="267"/>
        <v>30.941369385212482</v>
      </c>
      <c r="BV84" s="231">
        <f t="shared" si="346"/>
        <v>0.26</v>
      </c>
      <c r="BW84" s="231">
        <f t="shared" si="347"/>
        <v>0.28799604284675562</v>
      </c>
      <c r="BX84" s="231">
        <f t="shared" si="348"/>
        <v>0.31557778696980676</v>
      </c>
      <c r="BY84" s="231">
        <f t="shared" si="349"/>
        <v>0.26</v>
      </c>
      <c r="BZ84" s="231">
        <f t="shared" si="350"/>
        <v>0.32512156670388381</v>
      </c>
      <c r="CA84" s="231">
        <f t="shared" si="351"/>
        <v>0.30487143218776075</v>
      </c>
      <c r="CB84" s="231">
        <f t="shared" si="352"/>
        <v>0.48</v>
      </c>
      <c r="CC84" s="231">
        <f t="shared" si="353"/>
        <v>0.44673361590464555</v>
      </c>
      <c r="CD84" s="231">
        <f t="shared" si="354"/>
        <v>0.33503755557660658</v>
      </c>
      <c r="CE84" s="231">
        <f t="shared" si="355"/>
        <v>8.3110338044942819E-2</v>
      </c>
      <c r="CF84" s="231">
        <f t="shared" si="268"/>
        <v>24.80627519559955</v>
      </c>
      <c r="CH84" s="232">
        <f t="shared" si="356"/>
        <v>1.4376070808115269</v>
      </c>
      <c r="CI84" s="232">
        <f t="shared" si="357"/>
        <v>1.52</v>
      </c>
      <c r="CJ84" s="232">
        <f t="shared" si="358"/>
        <v>2.1</v>
      </c>
      <c r="CK84" s="232">
        <f t="shared" si="359"/>
        <v>1.9120244431233018</v>
      </c>
      <c r="CL84" s="232">
        <f t="shared" si="360"/>
        <v>1.6759977562086805</v>
      </c>
      <c r="CM84" s="232">
        <f t="shared" si="361"/>
        <v>1.4902952458294578</v>
      </c>
      <c r="CN84" s="232">
        <f t="shared" si="362"/>
        <v>1.4404235362183102</v>
      </c>
      <c r="CO84" s="232">
        <f t="shared" si="363"/>
        <v>1.81858737882615</v>
      </c>
      <c r="CP84" s="232">
        <f t="shared" si="364"/>
        <v>1.52</v>
      </c>
      <c r="CQ84" s="232">
        <f t="shared" si="365"/>
        <v>1.4513951300271501</v>
      </c>
      <c r="CR84" s="232">
        <f t="shared" si="366"/>
        <v>1.6366330571044578</v>
      </c>
      <c r="CS84" s="232">
        <f t="shared" si="367"/>
        <v>0.23243880771122716</v>
      </c>
      <c r="CT84" s="232">
        <f t="shared" si="269"/>
        <v>14.202255459904951</v>
      </c>
      <c r="CV84" s="229">
        <f t="shared" si="270"/>
        <v>0.83</v>
      </c>
      <c r="CW84" s="229">
        <f t="shared" si="271"/>
        <v>1.19</v>
      </c>
      <c r="CX84" s="229">
        <f t="shared" si="272"/>
        <v>0.78580558384338106</v>
      </c>
      <c r="CY84" s="229">
        <f t="shared" si="273"/>
        <v>0.51357851285005252</v>
      </c>
      <c r="CZ84" s="229">
        <f t="shared" si="274"/>
        <v>1.1671747695931516</v>
      </c>
      <c r="DA84" s="229">
        <f t="shared" si="275"/>
        <v>0.83</v>
      </c>
      <c r="DB84" s="229">
        <f t="shared" si="276"/>
        <v>0.52638728687744585</v>
      </c>
      <c r="DC84" s="229">
        <f t="shared" si="277"/>
        <v>0.89</v>
      </c>
      <c r="DD84" s="229">
        <f t="shared" si="278"/>
        <v>0.84161826914550386</v>
      </c>
      <c r="DE84" s="229">
        <f t="shared" si="279"/>
        <v>0.25073131189324172</v>
      </c>
      <c r="DF84" s="229">
        <f t="shared" si="280"/>
        <v>29.791571913928333</v>
      </c>
      <c r="DH84" s="234">
        <f t="shared" si="368"/>
        <v>0.11840000000000001</v>
      </c>
      <c r="DI84" s="234">
        <f t="shared" si="369"/>
        <v>0.16</v>
      </c>
      <c r="DJ84" s="234">
        <f t="shared" si="370"/>
        <v>0.10957423401664235</v>
      </c>
      <c r="DK84" s="234">
        <f t="shared" si="281"/>
        <v>0.12932474467221411</v>
      </c>
      <c r="DL84" s="234">
        <f t="shared" si="282"/>
        <v>2.6929574882773304E-2</v>
      </c>
      <c r="DM84" s="234">
        <f t="shared" si="283"/>
        <v>20.823219060690107</v>
      </c>
      <c r="DO84" s="229">
        <f t="shared" si="371"/>
        <v>2.38</v>
      </c>
      <c r="DP84" s="229">
        <f t="shared" si="372"/>
        <v>3.49</v>
      </c>
      <c r="DQ84" s="229">
        <f t="shared" si="373"/>
        <v>3.7146757433309592</v>
      </c>
      <c r="DR84" s="229">
        <f t="shared" si="374"/>
        <v>2.9095306009899793</v>
      </c>
      <c r="DS84" s="229">
        <f t="shared" si="375"/>
        <v>2.5982781472250682</v>
      </c>
      <c r="DT84" s="229">
        <f t="shared" si="376"/>
        <v>2.38</v>
      </c>
      <c r="DU84" s="229">
        <f t="shared" si="377"/>
        <v>3.6159999999999997</v>
      </c>
      <c r="DV84" s="229">
        <f t="shared" si="378"/>
        <v>3.1309482891827076</v>
      </c>
      <c r="DW84" s="229">
        <f t="shared" si="284"/>
        <v>3.0274290975910891</v>
      </c>
      <c r="DX84" s="229">
        <f t="shared" si="285"/>
        <v>0.54508337351040792</v>
      </c>
      <c r="DY84" s="229">
        <f t="shared" si="286"/>
        <v>18.004827064129369</v>
      </c>
      <c r="EA84" s="235">
        <f t="shared" si="379"/>
        <v>0.14000000000000001</v>
      </c>
      <c r="EB84" s="235">
        <f t="shared" si="380"/>
        <v>0.2081418071207346</v>
      </c>
      <c r="EC84" s="235">
        <f t="shared" si="381"/>
        <v>0.14000000000000001</v>
      </c>
      <c r="ED84" s="235">
        <f t="shared" si="382"/>
        <v>0.16256077977097591</v>
      </c>
      <c r="EE84" s="235">
        <f t="shared" si="383"/>
        <v>0.13628969234297911</v>
      </c>
      <c r="EF84" s="235">
        <f t="shared" si="384"/>
        <v>0.15739845584693796</v>
      </c>
      <c r="EG84" s="235">
        <f t="shared" si="385"/>
        <v>3.0218081156711315E-2</v>
      </c>
      <c r="EH84" s="235">
        <f t="shared" si="287"/>
        <v>19.198460997671333</v>
      </c>
      <c r="EJ84" s="229">
        <f t="shared" si="386"/>
        <v>7.5426305676856105</v>
      </c>
      <c r="EK84" s="229">
        <f t="shared" si="387"/>
        <v>16.694028916209199</v>
      </c>
      <c r="EL84" s="229">
        <f t="shared" si="388"/>
        <v>6.91</v>
      </c>
      <c r="EM84" s="229">
        <f t="shared" si="389"/>
        <v>14.4</v>
      </c>
      <c r="EN84" s="229">
        <f t="shared" si="390"/>
        <v>22.232838998081785</v>
      </c>
      <c r="EO84" s="229">
        <f t="shared" si="391"/>
        <v>22.973971735001264</v>
      </c>
      <c r="EP84" s="229">
        <f t="shared" si="392"/>
        <v>18.935245536617455</v>
      </c>
      <c r="EQ84" s="229">
        <f t="shared" si="393"/>
        <v>15.669816536227902</v>
      </c>
      <c r="ER84" s="229">
        <f t="shared" si="394"/>
        <v>6.4876029999502247</v>
      </c>
      <c r="ES84" s="229">
        <f t="shared" si="288"/>
        <v>41.401907833133734</v>
      </c>
      <c r="EU84" s="238">
        <f t="shared" si="395"/>
        <v>1.5481979025807233E-2</v>
      </c>
      <c r="EV84" s="238">
        <f t="shared" si="396"/>
        <v>1.5481979025807233E-2</v>
      </c>
      <c r="EW84" s="238" t="e">
        <f t="shared" si="397"/>
        <v>#DIV/0!</v>
      </c>
      <c r="EX84" s="238" t="e">
        <f t="shared" si="289"/>
        <v>#DIV/0!</v>
      </c>
      <c r="EZ84" s="240">
        <f t="shared" si="398"/>
        <v>2.6474184134130368E-2</v>
      </c>
      <c r="FA84" s="240">
        <f t="shared" si="399"/>
        <v>2.6474184134130368E-2</v>
      </c>
      <c r="FB84" s="240" t="e">
        <f t="shared" si="400"/>
        <v>#DIV/0!</v>
      </c>
      <c r="FC84" s="240" t="e">
        <f t="shared" si="290"/>
        <v>#DIV/0!</v>
      </c>
      <c r="FE84" s="236">
        <f t="shared" si="401"/>
        <v>0.9</v>
      </c>
      <c r="FF84" s="236">
        <f t="shared" si="402"/>
        <v>1.2</v>
      </c>
      <c r="FG84" s="236">
        <f t="shared" si="403"/>
        <v>1.2680964995590753</v>
      </c>
      <c r="FH84" s="236">
        <f t="shared" si="404"/>
        <v>1.2772632696290966</v>
      </c>
      <c r="FI84" s="236">
        <f t="shared" si="405"/>
        <v>0.9</v>
      </c>
      <c r="FJ84" s="236">
        <f t="shared" si="406"/>
        <v>1.0837385318065063</v>
      </c>
      <c r="FK84" s="236">
        <f t="shared" si="291"/>
        <v>1.1048497168324465</v>
      </c>
      <c r="FL84" s="236">
        <f t="shared" si="292"/>
        <v>0.17309073733235328</v>
      </c>
      <c r="FM84" s="236">
        <f t="shared" si="293"/>
        <v>15.666450802793024</v>
      </c>
      <c r="FO84" s="227">
        <f t="shared" si="407"/>
        <v>0.3</v>
      </c>
      <c r="FP84" s="227">
        <f t="shared" si="408"/>
        <v>0.32</v>
      </c>
      <c r="FQ84" s="227">
        <f t="shared" si="409"/>
        <v>0.34342955861900148</v>
      </c>
      <c r="FR84" s="227">
        <f t="shared" si="410"/>
        <v>0.3</v>
      </c>
      <c r="FS84" s="227">
        <f t="shared" si="411"/>
        <v>0.34834452808066269</v>
      </c>
      <c r="FT84" s="227">
        <f t="shared" si="294"/>
        <v>0.32235481733993282</v>
      </c>
      <c r="FU84" s="227">
        <f t="shared" si="295"/>
        <v>2.3046858059584074E-2</v>
      </c>
      <c r="FV84" s="227">
        <f t="shared" si="296"/>
        <v>7.1495311439011218</v>
      </c>
      <c r="FX84" s="230">
        <f t="shared" si="412"/>
        <v>2.94</v>
      </c>
      <c r="FY84" s="230">
        <f t="shared" si="413"/>
        <v>1.6256077977097594</v>
      </c>
      <c r="FZ84" s="230">
        <f t="shared" si="414"/>
        <v>2.94</v>
      </c>
      <c r="GA84" s="230">
        <f t="shared" si="415"/>
        <v>3.8701348194524754</v>
      </c>
      <c r="GB84" s="230">
        <f t="shared" si="297"/>
        <v>2.8439356542905587</v>
      </c>
      <c r="GC84" s="230">
        <f t="shared" si="298"/>
        <v>0.9230139417027492</v>
      </c>
      <c r="GD84" s="230">
        <f t="shared" si="299"/>
        <v>32.455514255754217</v>
      </c>
      <c r="GF84" s="231">
        <f t="shared" si="416"/>
        <v>0.06</v>
      </c>
      <c r="GG84" s="231">
        <f t="shared" si="417"/>
        <v>0.05</v>
      </c>
      <c r="GH84" s="231">
        <f t="shared" si="418"/>
        <v>0.06</v>
      </c>
      <c r="GI84" s="231">
        <f t="shared" si="419"/>
        <v>6.1927916103228932E-2</v>
      </c>
      <c r="GJ84" s="245">
        <f t="shared" si="432"/>
        <v>5.7981979025807227E-2</v>
      </c>
      <c r="GK84" s="231">
        <f t="shared" si="433"/>
        <v>5.398370923774494E-3</v>
      </c>
      <c r="GL84" s="231">
        <f t="shared" si="300"/>
        <v>9.3104288857952415</v>
      </c>
      <c r="GN84" s="246">
        <f t="shared" si="420"/>
        <v>0.18</v>
      </c>
      <c r="GO84" s="246">
        <f t="shared" si="421"/>
        <v>0.18</v>
      </c>
      <c r="GP84" s="246">
        <f t="shared" si="422"/>
        <v>0.16256077977097591</v>
      </c>
      <c r="GQ84" s="247">
        <f t="shared" si="434"/>
        <v>0.17418692659032531</v>
      </c>
      <c r="GR84" s="246">
        <f t="shared" si="438"/>
        <v>1.0068538493684222E-2</v>
      </c>
      <c r="GS84" s="246">
        <f t="shared" si="301"/>
        <v>5.7803066457247256</v>
      </c>
      <c r="GU84" s="249">
        <f t="shared" si="423"/>
        <v>2.1210311265355906E-2</v>
      </c>
      <c r="GV84" s="249">
        <f t="shared" si="424"/>
        <v>2.1210311265355906E-2</v>
      </c>
      <c r="GW84" s="249" t="e">
        <f t="shared" si="425"/>
        <v>#DIV/0!</v>
      </c>
      <c r="GX84" s="249" t="e">
        <f t="shared" si="302"/>
        <v>#DIV/0!</v>
      </c>
      <c r="GZ84" s="240">
        <f t="shared" si="426"/>
        <v>2.322296853871085E-2</v>
      </c>
      <c r="HA84" s="240">
        <f t="shared" si="427"/>
        <v>2.322296853871085E-2</v>
      </c>
      <c r="HB84" s="240" t="e">
        <f t="shared" si="428"/>
        <v>#DIV/0!</v>
      </c>
      <c r="HC84" s="240" t="e">
        <f t="shared" si="303"/>
        <v>#DIV/0!</v>
      </c>
      <c r="HE84" s="234">
        <f t="shared" si="429"/>
        <v>9.1687575203553015E-2</v>
      </c>
      <c r="HF84" s="251">
        <f t="shared" si="430"/>
        <v>9.1687575203553015E-2</v>
      </c>
      <c r="HG84" s="234" t="e">
        <f t="shared" si="431"/>
        <v>#DIV/0!</v>
      </c>
      <c r="HH84" s="234" t="e">
        <f t="shared" si="304"/>
        <v>#DIV/0!</v>
      </c>
    </row>
    <row r="85" spans="2:216" ht="13.2" x14ac:dyDescent="0.25"/>
  </sheetData>
  <sheetProtection algorithmName="SHA-512" hashValue="cvkgU88LqRCtcDL73rYgAIBSuzIqL2sTpP0jma+z+U8/QnN1yvtUNPhR0l0aXKyqA2rv9tMRc3jgBjD28/pOOg==" saltValue="VCA3+A3enFI4nT/gjgRWxQ==" spinCount="100000" sheet="1" objects="1" scenarios="1"/>
  <mergeCells count="213">
    <mergeCell ref="EJ2:EJ3"/>
    <mergeCell ref="EJ1:ES1"/>
    <mergeCell ref="DF2:DF3"/>
    <mergeCell ref="BW2:BW3"/>
    <mergeCell ref="BT2:BT3"/>
    <mergeCell ref="CV1:DF1"/>
    <mergeCell ref="CV2:CV3"/>
    <mergeCell ref="CW2:CW3"/>
    <mergeCell ref="CX2:CX3"/>
    <mergeCell ref="CY2:CY3"/>
    <mergeCell ref="CZ2:CZ3"/>
    <mergeCell ref="CH1:CT1"/>
    <mergeCell ref="CH2:CH3"/>
    <mergeCell ref="CI2:CI3"/>
    <mergeCell ref="CJ2:CJ3"/>
    <mergeCell ref="CK2:CK3"/>
    <mergeCell ref="CL2:CL3"/>
    <mergeCell ref="CM2:CM3"/>
    <mergeCell ref="CN2:CN3"/>
    <mergeCell ref="CO2:CO3"/>
    <mergeCell ref="CP2:CP3"/>
    <mergeCell ref="CQ2:CQ3"/>
    <mergeCell ref="CR2:CR3"/>
    <mergeCell ref="CS2:CS3"/>
    <mergeCell ref="CT2:CT3"/>
    <mergeCell ref="DB2:DB3"/>
    <mergeCell ref="DC2:DC3"/>
    <mergeCell ref="DD2:DD3"/>
    <mergeCell ref="DE2:DE3"/>
    <mergeCell ref="N2:N3"/>
    <mergeCell ref="O2:O3"/>
    <mergeCell ref="T2:T3"/>
    <mergeCell ref="U2:U3"/>
    <mergeCell ref="V2:V3"/>
    <mergeCell ref="Q2:Q3"/>
    <mergeCell ref="R2:R3"/>
    <mergeCell ref="S2:S3"/>
    <mergeCell ref="AB2:AB3"/>
    <mergeCell ref="AC2:AC3"/>
    <mergeCell ref="E1:L1"/>
    <mergeCell ref="F2:F3"/>
    <mergeCell ref="G2:G3"/>
    <mergeCell ref="H2:H3"/>
    <mergeCell ref="J2:J3"/>
    <mergeCell ref="X2:X3"/>
    <mergeCell ref="Y2:Y3"/>
    <mergeCell ref="Z2:Z3"/>
    <mergeCell ref="AA2:AA3"/>
    <mergeCell ref="E2:E3"/>
    <mergeCell ref="X1:AC1"/>
    <mergeCell ref="N1:V1"/>
    <mergeCell ref="I2:I3"/>
    <mergeCell ref="K2:K3"/>
    <mergeCell ref="L2:L3"/>
    <mergeCell ref="P2:P3"/>
    <mergeCell ref="AE1:AN1"/>
    <mergeCell ref="AE2:AE3"/>
    <mergeCell ref="AF2:AF3"/>
    <mergeCell ref="AK2:AK3"/>
    <mergeCell ref="AL2:AL3"/>
    <mergeCell ref="AM2:AM3"/>
    <mergeCell ref="AN2:AN3"/>
    <mergeCell ref="AG2:AG3"/>
    <mergeCell ref="AH2:AH3"/>
    <mergeCell ref="AI2:AI3"/>
    <mergeCell ref="AJ2:AJ3"/>
    <mergeCell ref="BK1:BT1"/>
    <mergeCell ref="BO2:BO3"/>
    <mergeCell ref="BP2:BP3"/>
    <mergeCell ref="AP1:BA1"/>
    <mergeCell ref="AP2:AP3"/>
    <mergeCell ref="AR2:AR3"/>
    <mergeCell ref="AS2:AS3"/>
    <mergeCell ref="AT2:AT3"/>
    <mergeCell ref="AU2:AU3"/>
    <mergeCell ref="AV2:AV3"/>
    <mergeCell ref="AW2:AW3"/>
    <mergeCell ref="AX2:AX3"/>
    <mergeCell ref="AY2:AY3"/>
    <mergeCell ref="AZ2:AZ3"/>
    <mergeCell ref="BA2:BA3"/>
    <mergeCell ref="AQ2:AQ3"/>
    <mergeCell ref="BQ2:BQ3"/>
    <mergeCell ref="BR2:BR3"/>
    <mergeCell ref="BS2:BS3"/>
    <mergeCell ref="BK2:BK3"/>
    <mergeCell ref="BL2:BL3"/>
    <mergeCell ref="BM2:BM3"/>
    <mergeCell ref="BN2:BN3"/>
    <mergeCell ref="DU2:DU3"/>
    <mergeCell ref="DV2:DV3"/>
    <mergeCell ref="DW2:DW3"/>
    <mergeCell ref="DX2:DX3"/>
    <mergeCell ref="DY2:DY3"/>
    <mergeCell ref="BI2:BI3"/>
    <mergeCell ref="BC1:BI1"/>
    <mergeCell ref="BE2:BE3"/>
    <mergeCell ref="BC2:BC3"/>
    <mergeCell ref="BD2:BD3"/>
    <mergeCell ref="BF2:BF3"/>
    <mergeCell ref="BG2:BG3"/>
    <mergeCell ref="BH2:BH3"/>
    <mergeCell ref="BV1:CF1"/>
    <mergeCell ref="BV2:BV3"/>
    <mergeCell ref="BX2:BX3"/>
    <mergeCell ref="BY2:BY3"/>
    <mergeCell ref="BZ2:BZ3"/>
    <mergeCell ref="CA2:CA3"/>
    <mergeCell ref="CB2:CB3"/>
    <mergeCell ref="CC2:CC3"/>
    <mergeCell ref="CD2:CD3"/>
    <mergeCell ref="CE2:CE3"/>
    <mergeCell ref="CF2:CF3"/>
    <mergeCell ref="DH1:DM1"/>
    <mergeCell ref="DH2:DH3"/>
    <mergeCell ref="DI2:DI3"/>
    <mergeCell ref="DJ2:DJ3"/>
    <mergeCell ref="DK2:DK3"/>
    <mergeCell ref="DL2:DL3"/>
    <mergeCell ref="DM2:DM3"/>
    <mergeCell ref="DA2:DA3"/>
    <mergeCell ref="EA1:EH1"/>
    <mergeCell ref="EA2:EA3"/>
    <mergeCell ref="EC2:EC3"/>
    <mergeCell ref="ED2:ED3"/>
    <mergeCell ref="EE2:EE3"/>
    <mergeCell ref="EF2:EF3"/>
    <mergeCell ref="EG2:EG3"/>
    <mergeCell ref="EH2:EH3"/>
    <mergeCell ref="EB2:EB3"/>
    <mergeCell ref="DO1:DY1"/>
    <mergeCell ref="DO2:DO3"/>
    <mergeCell ref="DP2:DP3"/>
    <mergeCell ref="DQ2:DQ3"/>
    <mergeCell ref="DR2:DR3"/>
    <mergeCell ref="DS2:DS3"/>
    <mergeCell ref="DT2:DT3"/>
    <mergeCell ref="EK2:EK3"/>
    <mergeCell ref="EL2:EL3"/>
    <mergeCell ref="EM2:EM3"/>
    <mergeCell ref="EN2:EN3"/>
    <mergeCell ref="EO2:EO3"/>
    <mergeCell ref="EP2:EP3"/>
    <mergeCell ref="EQ2:EQ3"/>
    <mergeCell ref="ER2:ER3"/>
    <mergeCell ref="ES2:ES3"/>
    <mergeCell ref="EU1:EX1"/>
    <mergeCell ref="EU2:EU3"/>
    <mergeCell ref="EV2:EV3"/>
    <mergeCell ref="EW2:EW3"/>
    <mergeCell ref="EX2:EX3"/>
    <mergeCell ref="EZ1:FC1"/>
    <mergeCell ref="EZ2:EZ3"/>
    <mergeCell ref="FA2:FA3"/>
    <mergeCell ref="FB2:FB3"/>
    <mergeCell ref="FC2:FC3"/>
    <mergeCell ref="FE1:FM1"/>
    <mergeCell ref="FE2:FE3"/>
    <mergeCell ref="FG2:FG3"/>
    <mergeCell ref="FH2:FH3"/>
    <mergeCell ref="FI2:FI3"/>
    <mergeCell ref="FJ2:FJ3"/>
    <mergeCell ref="FK2:FK3"/>
    <mergeCell ref="FL2:FL3"/>
    <mergeCell ref="FM2:FM3"/>
    <mergeCell ref="FF2:FF3"/>
    <mergeCell ref="FO1:FV1"/>
    <mergeCell ref="FO2:FO3"/>
    <mergeCell ref="FP2:FP3"/>
    <mergeCell ref="FQ2:FQ3"/>
    <mergeCell ref="FR2:FR3"/>
    <mergeCell ref="FS2:FS3"/>
    <mergeCell ref="FT2:FT3"/>
    <mergeCell ref="FU2:FU3"/>
    <mergeCell ref="FV2:FV3"/>
    <mergeCell ref="FX1:GD1"/>
    <mergeCell ref="FX2:FX3"/>
    <mergeCell ref="FY2:FY3"/>
    <mergeCell ref="FZ2:FZ3"/>
    <mergeCell ref="GA2:GA3"/>
    <mergeCell ref="GB2:GB3"/>
    <mergeCell ref="GC2:GC3"/>
    <mergeCell ref="GD2:GD3"/>
    <mergeCell ref="GF1:GL1"/>
    <mergeCell ref="GF2:GF3"/>
    <mergeCell ref="GG2:GG3"/>
    <mergeCell ref="GH2:GH3"/>
    <mergeCell ref="GI2:GI3"/>
    <mergeCell ref="GJ2:GJ3"/>
    <mergeCell ref="GK2:GK3"/>
    <mergeCell ref="GL2:GL3"/>
    <mergeCell ref="GN2:GN3"/>
    <mergeCell ref="GO2:GO3"/>
    <mergeCell ref="GP2:GP3"/>
    <mergeCell ref="GQ2:GQ3"/>
    <mergeCell ref="GR2:GR3"/>
    <mergeCell ref="GS2:GS3"/>
    <mergeCell ref="GN1:GS1"/>
    <mergeCell ref="GU1:GX1"/>
    <mergeCell ref="GZ1:HC1"/>
    <mergeCell ref="HE1:HH1"/>
    <mergeCell ref="GU2:GU3"/>
    <mergeCell ref="GV2:GV3"/>
    <mergeCell ref="GW2:GW3"/>
    <mergeCell ref="GX2:GX3"/>
    <mergeCell ref="GZ2:GZ3"/>
    <mergeCell ref="HA2:HA3"/>
    <mergeCell ref="HB2:HB3"/>
    <mergeCell ref="HC2:HC3"/>
    <mergeCell ref="HE2:HE3"/>
    <mergeCell ref="HF2:HF3"/>
    <mergeCell ref="HG2:HG3"/>
    <mergeCell ref="HH2:H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55" zoomScaleNormal="55" workbookViewId="0">
      <selection activeCell="Z32" sqref="Z32"/>
    </sheetView>
  </sheetViews>
  <sheetFormatPr baseColWidth="10" defaultColWidth="8.88671875" defaultRowHeight="13.2" x14ac:dyDescent="0.25"/>
  <sheetData/>
  <sheetProtection algorithmName="SHA-512" hashValue="EFpVzdM/eiJ2Jv7iuJEI/E2ks3iO4pR02UI4D2RLjfzcmDFAf5D7fo0iQrDKx879X4IafvlWg8+ph4kt6Cka2w==" saltValue="Q+CELpVg+c4Pg9uuuvxPUg==" spinCount="100000" sheet="1" objects="1" scenarios="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abSelected="1" zoomScale="55" zoomScaleNormal="55" workbookViewId="0">
      <selection activeCell="B20" sqref="B20"/>
    </sheetView>
  </sheetViews>
  <sheetFormatPr baseColWidth="10" defaultColWidth="11.44140625" defaultRowHeight="18" x14ac:dyDescent="0.35"/>
  <cols>
    <col min="1" max="1" width="17.6640625" style="67" customWidth="1"/>
    <col min="2" max="2" width="34.44140625" style="67" customWidth="1"/>
    <col min="3" max="3" width="40.44140625" style="67" customWidth="1"/>
    <col min="4" max="4" width="173.33203125" style="68" customWidth="1"/>
    <col min="5" max="16384" width="11.44140625" style="54"/>
  </cols>
  <sheetData>
    <row r="1" spans="1:12" x14ac:dyDescent="0.35">
      <c r="A1" s="50" t="s">
        <v>412</v>
      </c>
      <c r="B1" s="51" t="s">
        <v>413</v>
      </c>
      <c r="C1" s="52" t="s">
        <v>414</v>
      </c>
      <c r="D1" s="53" t="s">
        <v>415</v>
      </c>
      <c r="F1" s="69" t="s">
        <v>416</v>
      </c>
      <c r="G1" s="70"/>
      <c r="H1" s="70"/>
      <c r="I1" s="70"/>
      <c r="J1" s="70"/>
      <c r="K1" s="70"/>
      <c r="L1" s="70"/>
    </row>
    <row r="2" spans="1:12" ht="54" x14ac:dyDescent="0.35">
      <c r="A2" s="55">
        <v>1</v>
      </c>
      <c r="B2" s="56" t="s">
        <v>116</v>
      </c>
      <c r="C2" s="57" t="s">
        <v>417</v>
      </c>
      <c r="D2" s="58" t="s">
        <v>418</v>
      </c>
    </row>
    <row r="3" spans="1:12" ht="36" x14ac:dyDescent="0.35">
      <c r="A3" s="55">
        <v>2</v>
      </c>
      <c r="B3" s="56" t="s">
        <v>419</v>
      </c>
      <c r="C3" s="57" t="s">
        <v>420</v>
      </c>
      <c r="D3" s="58" t="s">
        <v>421</v>
      </c>
    </row>
    <row r="4" spans="1:12" ht="36" x14ac:dyDescent="0.35">
      <c r="A4" s="55" t="s">
        <v>422</v>
      </c>
      <c r="B4" s="59" t="s">
        <v>423</v>
      </c>
      <c r="C4" s="57" t="s">
        <v>424</v>
      </c>
      <c r="D4" s="60" t="s">
        <v>425</v>
      </c>
    </row>
    <row r="5" spans="1:12" ht="36" x14ac:dyDescent="0.35">
      <c r="A5" s="55">
        <v>3</v>
      </c>
      <c r="B5" s="56" t="s">
        <v>109</v>
      </c>
      <c r="C5" s="57" t="s">
        <v>426</v>
      </c>
      <c r="D5" s="60" t="s">
        <v>427</v>
      </c>
    </row>
    <row r="6" spans="1:12" ht="36" x14ac:dyDescent="0.35">
      <c r="A6" s="55">
        <v>4</v>
      </c>
      <c r="B6" s="56" t="s">
        <v>258</v>
      </c>
      <c r="C6" s="57" t="s">
        <v>428</v>
      </c>
      <c r="D6" s="60" t="s">
        <v>429</v>
      </c>
    </row>
    <row r="7" spans="1:12" ht="36" x14ac:dyDescent="0.35">
      <c r="A7" s="55">
        <v>5</v>
      </c>
      <c r="B7" s="59" t="s">
        <v>430</v>
      </c>
      <c r="C7" s="57" t="s">
        <v>431</v>
      </c>
      <c r="D7" s="60" t="s">
        <v>432</v>
      </c>
    </row>
    <row r="8" spans="1:12" x14ac:dyDescent="0.35">
      <c r="A8" s="55">
        <v>6</v>
      </c>
      <c r="B8" s="56" t="s">
        <v>238</v>
      </c>
      <c r="C8" s="57" t="s">
        <v>417</v>
      </c>
      <c r="D8" s="61" t="s">
        <v>433</v>
      </c>
    </row>
    <row r="9" spans="1:12" ht="54" x14ac:dyDescent="0.35">
      <c r="A9" s="55">
        <v>7</v>
      </c>
      <c r="B9" s="56" t="s">
        <v>222</v>
      </c>
      <c r="C9" s="57" t="s">
        <v>434</v>
      </c>
      <c r="D9" s="60" t="s">
        <v>435</v>
      </c>
    </row>
    <row r="10" spans="1:12" ht="36" x14ac:dyDescent="0.35">
      <c r="A10" s="55">
        <v>8</v>
      </c>
      <c r="B10" s="59" t="s">
        <v>82</v>
      </c>
      <c r="C10" s="57" t="s">
        <v>436</v>
      </c>
      <c r="D10" s="60" t="s">
        <v>437</v>
      </c>
    </row>
    <row r="11" spans="1:12" ht="36" x14ac:dyDescent="0.35">
      <c r="A11" s="55">
        <v>9</v>
      </c>
      <c r="B11" s="56" t="s">
        <v>106</v>
      </c>
      <c r="C11" s="57" t="s">
        <v>438</v>
      </c>
      <c r="D11" s="62" t="s">
        <v>439</v>
      </c>
    </row>
    <row r="12" spans="1:12" ht="54" x14ac:dyDescent="0.35">
      <c r="A12" s="55" t="s">
        <v>422</v>
      </c>
      <c r="B12" s="59" t="s">
        <v>65</v>
      </c>
      <c r="C12" s="57" t="s">
        <v>440</v>
      </c>
      <c r="D12" s="60" t="s">
        <v>441</v>
      </c>
    </row>
    <row r="13" spans="1:12" x14ac:dyDescent="0.35">
      <c r="A13" s="55">
        <v>10</v>
      </c>
      <c r="B13" s="56" t="s">
        <v>67</v>
      </c>
      <c r="C13" s="57" t="s">
        <v>417</v>
      </c>
      <c r="D13" s="60" t="s">
        <v>442</v>
      </c>
    </row>
    <row r="14" spans="1:12" ht="36" x14ac:dyDescent="0.35">
      <c r="A14" s="55">
        <v>11</v>
      </c>
      <c r="B14" s="56" t="s">
        <v>443</v>
      </c>
      <c r="C14" s="57" t="s">
        <v>444</v>
      </c>
      <c r="D14" s="62" t="s">
        <v>445</v>
      </c>
    </row>
    <row r="15" spans="1:12" ht="36" x14ac:dyDescent="0.35">
      <c r="A15" s="55">
        <v>12</v>
      </c>
      <c r="B15" s="56" t="s">
        <v>297</v>
      </c>
      <c r="C15" s="57" t="s">
        <v>417</v>
      </c>
      <c r="D15" s="60" t="s">
        <v>446</v>
      </c>
    </row>
    <row r="16" spans="1:12" ht="36" x14ac:dyDescent="0.35">
      <c r="A16" s="55">
        <v>13</v>
      </c>
      <c r="B16" s="56" t="s">
        <v>447</v>
      </c>
      <c r="C16" s="57" t="s">
        <v>448</v>
      </c>
      <c r="D16" s="60" t="s">
        <v>449</v>
      </c>
    </row>
    <row r="17" spans="1:4" ht="36" x14ac:dyDescent="0.35">
      <c r="A17" s="55">
        <v>14</v>
      </c>
      <c r="B17" s="56" t="s">
        <v>165</v>
      </c>
      <c r="C17" s="57" t="s">
        <v>450</v>
      </c>
      <c r="D17" s="60" t="s">
        <v>451</v>
      </c>
    </row>
    <row r="18" spans="1:4" ht="36" x14ac:dyDescent="0.35">
      <c r="A18" s="55" t="s">
        <v>452</v>
      </c>
      <c r="B18" s="59" t="s">
        <v>99</v>
      </c>
      <c r="C18" s="57" t="s">
        <v>453</v>
      </c>
      <c r="D18" s="60" t="s">
        <v>454</v>
      </c>
    </row>
    <row r="19" spans="1:4" ht="54" x14ac:dyDescent="0.35">
      <c r="A19" s="55">
        <v>16</v>
      </c>
      <c r="B19" s="59" t="s">
        <v>76</v>
      </c>
      <c r="C19" s="57" t="s">
        <v>455</v>
      </c>
      <c r="D19" s="273" t="s">
        <v>456</v>
      </c>
    </row>
    <row r="20" spans="1:4" ht="36" x14ac:dyDescent="0.35">
      <c r="A20" s="55">
        <v>17</v>
      </c>
      <c r="B20" s="56" t="s">
        <v>457</v>
      </c>
      <c r="C20" s="57" t="s">
        <v>458</v>
      </c>
      <c r="D20" s="62" t="s">
        <v>459</v>
      </c>
    </row>
    <row r="21" spans="1:4" x14ac:dyDescent="0.35">
      <c r="A21" s="55">
        <v>18</v>
      </c>
      <c r="B21" s="59" t="s">
        <v>135</v>
      </c>
      <c r="C21" s="57" t="s">
        <v>417</v>
      </c>
      <c r="D21" s="63" t="s">
        <v>460</v>
      </c>
    </row>
    <row r="22" spans="1:4" x14ac:dyDescent="0.35">
      <c r="A22" s="55">
        <v>19</v>
      </c>
      <c r="B22" s="56" t="s">
        <v>92</v>
      </c>
      <c r="C22" s="57" t="s">
        <v>417</v>
      </c>
      <c r="D22" s="64" t="s">
        <v>461</v>
      </c>
    </row>
    <row r="23" spans="1:4" ht="36" x14ac:dyDescent="0.35">
      <c r="A23" s="55">
        <v>20</v>
      </c>
      <c r="B23" s="56" t="s">
        <v>462</v>
      </c>
      <c r="C23" s="57" t="s">
        <v>463</v>
      </c>
      <c r="D23" s="60" t="s">
        <v>464</v>
      </c>
    </row>
    <row r="24" spans="1:4" ht="36" x14ac:dyDescent="0.35">
      <c r="A24" s="55">
        <v>21</v>
      </c>
      <c r="B24" s="59" t="s">
        <v>465</v>
      </c>
      <c r="C24" s="57" t="s">
        <v>466</v>
      </c>
      <c r="D24" s="62" t="s">
        <v>467</v>
      </c>
    </row>
    <row r="25" spans="1:4" ht="36" x14ac:dyDescent="0.35">
      <c r="A25" s="55">
        <v>22</v>
      </c>
      <c r="B25" s="59" t="s">
        <v>468</v>
      </c>
      <c r="C25" s="57" t="s">
        <v>469</v>
      </c>
      <c r="D25" s="60" t="s">
        <v>470</v>
      </c>
    </row>
    <row r="26" spans="1:4" ht="36" x14ac:dyDescent="0.35">
      <c r="A26" s="55">
        <v>23</v>
      </c>
      <c r="B26" s="56" t="s">
        <v>471</v>
      </c>
      <c r="C26" s="57" t="s">
        <v>472</v>
      </c>
      <c r="D26" s="60" t="s">
        <v>473</v>
      </c>
    </row>
    <row r="27" spans="1:4" ht="36" x14ac:dyDescent="0.35">
      <c r="A27" s="55">
        <v>24</v>
      </c>
      <c r="B27" s="59" t="s">
        <v>474</v>
      </c>
      <c r="C27" s="57" t="s">
        <v>475</v>
      </c>
      <c r="D27" s="60" t="s">
        <v>476</v>
      </c>
    </row>
    <row r="28" spans="1:4" ht="36" x14ac:dyDescent="0.35">
      <c r="A28" s="55">
        <v>25</v>
      </c>
      <c r="B28" s="56" t="s">
        <v>477</v>
      </c>
      <c r="C28" s="65" t="s">
        <v>478</v>
      </c>
      <c r="D28" s="60" t="s">
        <v>479</v>
      </c>
    </row>
    <row r="29" spans="1:4" ht="36" x14ac:dyDescent="0.35">
      <c r="A29" s="55">
        <v>26</v>
      </c>
      <c r="B29" s="59" t="s">
        <v>480</v>
      </c>
      <c r="C29" s="57" t="s">
        <v>481</v>
      </c>
      <c r="D29" s="60" t="s">
        <v>482</v>
      </c>
    </row>
    <row r="30" spans="1:4" ht="54" x14ac:dyDescent="0.35">
      <c r="A30" s="55" t="s">
        <v>483</v>
      </c>
      <c r="B30" s="59" t="s">
        <v>484</v>
      </c>
      <c r="C30" s="57" t="s">
        <v>485</v>
      </c>
      <c r="D30" s="273" t="s">
        <v>486</v>
      </c>
    </row>
    <row r="31" spans="1:4" ht="36" x14ac:dyDescent="0.35">
      <c r="A31" s="55">
        <v>28</v>
      </c>
      <c r="B31" s="56" t="s">
        <v>487</v>
      </c>
      <c r="C31" s="57" t="s">
        <v>488</v>
      </c>
      <c r="D31" s="62" t="s">
        <v>489</v>
      </c>
    </row>
    <row r="32" spans="1:4" ht="36" x14ac:dyDescent="0.35">
      <c r="A32" s="55">
        <v>29</v>
      </c>
      <c r="B32" s="56" t="s">
        <v>490</v>
      </c>
      <c r="C32" s="57" t="s">
        <v>491</v>
      </c>
      <c r="D32" s="60" t="s">
        <v>492</v>
      </c>
    </row>
    <row r="33" spans="1:4" ht="36" x14ac:dyDescent="0.35">
      <c r="A33" s="55">
        <v>30</v>
      </c>
      <c r="B33" s="56" t="s">
        <v>493</v>
      </c>
      <c r="C33" s="57" t="s">
        <v>494</v>
      </c>
      <c r="D33" s="66" t="s">
        <v>495</v>
      </c>
    </row>
    <row r="34" spans="1:4" ht="36" x14ac:dyDescent="0.35">
      <c r="A34" s="55">
        <v>31</v>
      </c>
      <c r="B34" s="56" t="s">
        <v>124</v>
      </c>
      <c r="C34" s="57" t="s">
        <v>496</v>
      </c>
      <c r="D34" s="60" t="s">
        <v>497</v>
      </c>
    </row>
    <row r="35" spans="1:4" ht="54" x14ac:dyDescent="0.35">
      <c r="A35" s="55" t="s">
        <v>422</v>
      </c>
      <c r="B35" s="59" t="s">
        <v>498</v>
      </c>
      <c r="C35" s="57" t="s">
        <v>499</v>
      </c>
      <c r="D35" s="273" t="s">
        <v>500</v>
      </c>
    </row>
    <row r="36" spans="1:4" ht="36" x14ac:dyDescent="0.35">
      <c r="A36" s="55" t="s">
        <v>501</v>
      </c>
      <c r="B36" s="56" t="s">
        <v>502</v>
      </c>
      <c r="C36" s="57" t="s">
        <v>503</v>
      </c>
      <c r="D36" s="273" t="s">
        <v>504</v>
      </c>
    </row>
    <row r="37" spans="1:4" ht="36" x14ac:dyDescent="0.35">
      <c r="A37" s="55">
        <v>33</v>
      </c>
      <c r="B37" s="56" t="s">
        <v>505</v>
      </c>
      <c r="C37" s="57" t="s">
        <v>506</v>
      </c>
      <c r="D37" s="60" t="s">
        <v>507</v>
      </c>
    </row>
    <row r="38" spans="1:4" ht="36" x14ac:dyDescent="0.35">
      <c r="A38" s="55" t="s">
        <v>422</v>
      </c>
      <c r="B38" s="59" t="s">
        <v>508</v>
      </c>
      <c r="C38" s="57" t="s">
        <v>509</v>
      </c>
      <c r="D38" s="273" t="s">
        <v>510</v>
      </c>
    </row>
    <row r="39" spans="1:4" ht="36" x14ac:dyDescent="0.35">
      <c r="A39" s="55" t="s">
        <v>422</v>
      </c>
      <c r="B39" s="59" t="s">
        <v>511</v>
      </c>
      <c r="C39" s="57" t="s">
        <v>512</v>
      </c>
      <c r="D39" s="273" t="s">
        <v>513</v>
      </c>
    </row>
    <row r="40" spans="1:4" ht="36" x14ac:dyDescent="0.35">
      <c r="A40" s="55">
        <v>34</v>
      </c>
      <c r="B40" s="56" t="s">
        <v>514</v>
      </c>
      <c r="C40" s="57" t="s">
        <v>515</v>
      </c>
      <c r="D40" s="62" t="s">
        <v>516</v>
      </c>
    </row>
    <row r="41" spans="1:4" ht="36" x14ac:dyDescent="0.35">
      <c r="A41" s="55" t="s">
        <v>422</v>
      </c>
      <c r="B41" s="59" t="s">
        <v>517</v>
      </c>
      <c r="C41" s="57" t="s">
        <v>518</v>
      </c>
      <c r="D41" s="273" t="s">
        <v>519</v>
      </c>
    </row>
    <row r="42" spans="1:4" ht="54" x14ac:dyDescent="0.35">
      <c r="A42" s="55">
        <v>35</v>
      </c>
      <c r="B42" s="56" t="s">
        <v>520</v>
      </c>
      <c r="C42" s="57" t="s">
        <v>521</v>
      </c>
      <c r="D42" s="60" t="s">
        <v>522</v>
      </c>
    </row>
    <row r="43" spans="1:4" ht="36" x14ac:dyDescent="0.35">
      <c r="A43" s="55">
        <v>36</v>
      </c>
      <c r="B43" s="56" t="s">
        <v>523</v>
      </c>
      <c r="C43" s="57" t="s">
        <v>524</v>
      </c>
      <c r="D43" s="60" t="s">
        <v>525</v>
      </c>
    </row>
    <row r="44" spans="1:4" ht="54" x14ac:dyDescent="0.35">
      <c r="A44" s="55" t="s">
        <v>422</v>
      </c>
      <c r="B44" s="59" t="s">
        <v>526</v>
      </c>
      <c r="C44" s="57" t="s">
        <v>527</v>
      </c>
      <c r="D44" s="273" t="s">
        <v>528</v>
      </c>
    </row>
    <row r="45" spans="1:4" ht="36" x14ac:dyDescent="0.35">
      <c r="A45" s="55">
        <v>37</v>
      </c>
      <c r="B45" s="56" t="s">
        <v>155</v>
      </c>
      <c r="C45" s="57" t="s">
        <v>529</v>
      </c>
      <c r="D45" s="60" t="s">
        <v>530</v>
      </c>
    </row>
    <row r="46" spans="1:4" ht="54" x14ac:dyDescent="0.35">
      <c r="A46" s="55">
        <v>38</v>
      </c>
      <c r="B46" s="59" t="s">
        <v>126</v>
      </c>
      <c r="C46" s="57" t="s">
        <v>531</v>
      </c>
      <c r="D46" s="60" t="s">
        <v>532</v>
      </c>
    </row>
    <row r="47" spans="1:4" ht="54" x14ac:dyDescent="0.35">
      <c r="A47" s="55" t="s">
        <v>533</v>
      </c>
      <c r="B47" s="59" t="s">
        <v>71</v>
      </c>
      <c r="C47" s="57" t="s">
        <v>534</v>
      </c>
      <c r="D47" s="273" t="s">
        <v>535</v>
      </c>
    </row>
    <row r="48" spans="1:4" ht="36" x14ac:dyDescent="0.35">
      <c r="A48" s="55">
        <v>41</v>
      </c>
      <c r="B48" s="59" t="s">
        <v>88</v>
      </c>
      <c r="C48" s="57" t="s">
        <v>536</v>
      </c>
      <c r="D48" s="62" t="s">
        <v>537</v>
      </c>
    </row>
    <row r="49" spans="1:4" ht="54" x14ac:dyDescent="0.35">
      <c r="A49" s="55">
        <v>41</v>
      </c>
      <c r="B49" s="59" t="s">
        <v>104</v>
      </c>
      <c r="C49" s="57" t="s">
        <v>538</v>
      </c>
      <c r="D49" s="60" t="s">
        <v>539</v>
      </c>
    </row>
  </sheetData>
  <sheetProtection algorithmName="SHA-512" hashValue="zzPCceoU3N3Wbecd0LcSu/bLTJHd+qQ2KncXHPRImcZXPFQppJC2Us44JY7CARYFZ/u3B+fi++Iz1TpR9bgPkw==" saltValue="FnuEXyL/m3wiX1SS095emg==" spinCount="100000" sheet="1" objects="1" scenarios="1"/>
  <autoFilter ref="B1:B13">
    <sortState ref="B2:B146">
      <sortCondition ref="B1:B13"/>
    </sortState>
  </autoFilter>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18234e2-ac85-44d7-a055-e5c370c0519f">
      <Terms xmlns="http://schemas.microsoft.com/office/infopath/2007/PartnerControls"/>
    </lcf76f155ced4ddcb4097134ff3c332f>
    <TaxCatchAll xmlns="02553e5c-4019-4e05-9d39-79473b436dc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94B3BF347DFD7448D6D53FC91363B33" ma:contentTypeVersion="16" ma:contentTypeDescription="Crée un document." ma:contentTypeScope="" ma:versionID="d1cd2a34398d9e4c261437f1aeee2bf3">
  <xsd:schema xmlns:xsd="http://www.w3.org/2001/XMLSchema" xmlns:xs="http://www.w3.org/2001/XMLSchema" xmlns:p="http://schemas.microsoft.com/office/2006/metadata/properties" xmlns:ns2="118234e2-ac85-44d7-a055-e5c370c0519f" xmlns:ns3="02553e5c-4019-4e05-9d39-79473b436dc7" targetNamespace="http://schemas.microsoft.com/office/2006/metadata/properties" ma:root="true" ma:fieldsID="625a357b965783487785174984a1a796" ns2:_="" ns3:_="">
    <xsd:import namespace="118234e2-ac85-44d7-a055-e5c370c0519f"/>
    <xsd:import namespace="02553e5c-4019-4e05-9d39-79473b436dc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Location" minOccurs="0"/>
                <xsd:element ref="ns2:MediaServiceOCR"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8234e2-ac85-44d7-a055-e5c370c051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c7855947-2042-4236-af9d-b08e54de1c70"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2553e5c-4019-4e05-9d39-79473b436dc7" elementFormDefault="qualified">
    <xsd:import namespace="http://schemas.microsoft.com/office/2006/documentManagement/types"/>
    <xsd:import namespace="http://schemas.microsoft.com/office/infopath/2007/PartnerControls"/>
    <xsd:element name="SharedWithUsers" ma:index="10" nillable="true" ma:displayName="Partagé avec"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hidden="true" ma:internalName="SharedWithDetails" ma:readOnly="true">
      <xsd:simpleType>
        <xsd:restriction base="dms:Note"/>
      </xsd:simpleType>
    </xsd:element>
    <xsd:element name="TaxCatchAll" ma:index="14" nillable="true" ma:displayName="Taxonomy Catch All Column" ma:hidden="true" ma:list="{7932d046-aa1e-4b99-8c82-0c2b73fc917d}" ma:internalName="TaxCatchAll" ma:showField="CatchAllData" ma:web="02553e5c-4019-4e05-9d39-79473b436dc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ype de contenu"/>
        <xsd:element ref="dc:title" minOccurs="0" maxOccurs="1" ma:index="0"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3EB7E3-98FE-411E-B1AA-69E69E8EE21F}">
  <ds:schemaRefs>
    <ds:schemaRef ds:uri="http://purl.org/dc/terms/"/>
    <ds:schemaRef ds:uri="http://schemas.microsoft.com/office/2006/documentManagement/types"/>
    <ds:schemaRef ds:uri="http://schemas.microsoft.com/office/infopath/2007/PartnerControls"/>
    <ds:schemaRef ds:uri="http://purl.org/dc/elements/1.1/"/>
    <ds:schemaRef ds:uri="02553e5c-4019-4e05-9d39-79473b436dc7"/>
    <ds:schemaRef ds:uri="http://schemas.microsoft.com/office/2006/metadata/properties"/>
    <ds:schemaRef ds:uri="http://schemas.openxmlformats.org/package/2006/metadata/core-properties"/>
    <ds:schemaRef ds:uri="118234e2-ac85-44d7-a055-e5c370c0519f"/>
    <ds:schemaRef ds:uri="http://www.w3.org/XML/1998/namespace"/>
    <ds:schemaRef ds:uri="http://purl.org/dc/dcmitype/"/>
  </ds:schemaRefs>
</ds:datastoreItem>
</file>

<file path=customXml/itemProps2.xml><?xml version="1.0" encoding="utf-8"?>
<ds:datastoreItem xmlns:ds="http://schemas.openxmlformats.org/officeDocument/2006/customXml" ds:itemID="{EC7DDFAE-0C11-4B61-BE83-09F45A0331AD}">
  <ds:schemaRefs>
    <ds:schemaRef ds:uri="http://schemas.microsoft.com/sharepoint/v3/contenttype/forms"/>
  </ds:schemaRefs>
</ds:datastoreItem>
</file>

<file path=customXml/itemProps3.xml><?xml version="1.0" encoding="utf-8"?>
<ds:datastoreItem xmlns:ds="http://schemas.openxmlformats.org/officeDocument/2006/customXml" ds:itemID="{97564142-8684-4236-9FE4-AAEF32872E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8234e2-ac85-44d7-a055-e5c370c0519f"/>
    <ds:schemaRef ds:uri="02553e5c-4019-4e05-9d39-79473b436d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READ ME</vt:lpstr>
      <vt:lpstr>EQUATIONS</vt:lpstr>
      <vt:lpstr>RESULTS_AGE</vt:lpstr>
      <vt:lpstr>SUMMARY AGE SPECIFIC VOLUMES</vt:lpstr>
      <vt:lpstr>LIFE GROWTH_FEMALE</vt:lpstr>
      <vt:lpstr>LIFE GROWTH_MALE</vt:lpstr>
      <vt:lpstr>Figures</vt:lpstr>
      <vt:lpstr>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Gastellu</dc:creator>
  <cp:keywords/>
  <dc:description/>
  <cp:lastModifiedBy>Thomas GASTELLU</cp:lastModifiedBy>
  <cp:revision>240</cp:revision>
  <dcterms:created xsi:type="dcterms:W3CDTF">2024-01-18T17:26:55Z</dcterms:created>
  <dcterms:modified xsi:type="dcterms:W3CDTF">2024-08-06T09:38:39Z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0x010100094B3BF347DFD7448D6D53FC91363B33</vt:lpwstr>
  </property>
  <property fmtid="{D5CDD505-2E9C-101B-9397-08002B2CF9AE}" pid="3" name="MediaServiceImageTags">
    <vt:lpwstr/>
  </property>
</Properties>
</file>