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170" windowHeight="6060" activeTab="1"/>
  </bookViews>
  <sheets>
    <sheet name="Cass Lake" sheetId="1" r:id="rId1"/>
    <sheet name="Merchandise" sheetId="5" r:id="rId2"/>
    <sheet name="Rates&amp;Tables" sheetId="6" r:id="rId3"/>
    <sheet name="PLR Camp" sheetId="9" r:id="rId4"/>
    <sheet name="Canoes" sheetId="10" r:id="rId5"/>
  </sheets>
  <definedNames>
    <definedName name="Monthly_Rev">'Cass Lake'!$B$11:$G$11</definedName>
    <definedName name="TotalRevenue">'Cass Lake'!$H$11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0" l="1"/>
  <c r="B7" i="10"/>
  <c r="C20" i="5"/>
  <c r="C19" i="5"/>
  <c r="C17" i="5"/>
  <c r="C16" i="5"/>
  <c r="C13" i="5"/>
  <c r="C14" i="5"/>
  <c r="C5" i="5"/>
  <c r="C6" i="5"/>
  <c r="C7" i="5"/>
  <c r="C8" i="5"/>
  <c r="C9" i="5"/>
  <c r="C10" i="5"/>
  <c r="C11" i="5"/>
  <c r="C12" i="5"/>
  <c r="C4" i="5"/>
  <c r="H5" i="9"/>
  <c r="H4" i="9"/>
  <c r="F22" i="1"/>
  <c r="G22" i="1"/>
  <c r="C22" i="1"/>
  <c r="D22" i="1"/>
  <c r="E22" i="1"/>
  <c r="B22" i="1"/>
  <c r="A25" i="1"/>
  <c r="K18" i="1"/>
  <c r="K17" i="1"/>
  <c r="K16" i="1"/>
  <c r="K15" i="1"/>
  <c r="H18" i="1"/>
  <c r="C10" i="1"/>
  <c r="D10" i="1"/>
  <c r="E10" i="1"/>
  <c r="F10" i="1"/>
  <c r="G10" i="1"/>
  <c r="B10" i="1"/>
  <c r="C11" i="1" l="1"/>
  <c r="D11" i="1"/>
  <c r="E11" i="1"/>
  <c r="F11" i="1"/>
  <c r="G11" i="1"/>
  <c r="B11" i="1"/>
  <c r="E17" i="1" l="1"/>
  <c r="E16" i="1"/>
  <c r="E15" i="1"/>
  <c r="F17" i="1"/>
  <c r="F15" i="1"/>
  <c r="F16" i="1"/>
  <c r="K14" i="1"/>
  <c r="B17" i="1"/>
  <c r="B16" i="1"/>
  <c r="H16" i="1" s="1"/>
  <c r="B15" i="1"/>
  <c r="D15" i="1"/>
  <c r="D17" i="1"/>
  <c r="D16" i="1"/>
  <c r="G17" i="1"/>
  <c r="G15" i="1"/>
  <c r="G16" i="1"/>
  <c r="C15" i="1"/>
  <c r="C17" i="1"/>
  <c r="C16" i="1"/>
  <c r="H5" i="1"/>
  <c r="H6" i="1"/>
  <c r="H7" i="1"/>
  <c r="H8" i="1"/>
  <c r="H9" i="1"/>
  <c r="H10" i="1" l="1"/>
  <c r="H17" i="1"/>
  <c r="H15" i="1"/>
  <c r="H19" i="1" s="1"/>
  <c r="B19" i="1"/>
  <c r="B21" i="1" s="1"/>
  <c r="H11" i="1"/>
  <c r="G19" i="1"/>
  <c r="G21" i="1" s="1"/>
  <c r="F19" i="1"/>
  <c r="F21" i="1" s="1"/>
  <c r="E19" i="1"/>
  <c r="E21" i="1" s="1"/>
  <c r="D19" i="1"/>
  <c r="D21" i="1" s="1"/>
  <c r="C19" i="1"/>
  <c r="C21" i="1" s="1"/>
</calcChain>
</file>

<file path=xl/sharedStrings.xml><?xml version="1.0" encoding="utf-8"?>
<sst xmlns="http://schemas.openxmlformats.org/spreadsheetml/2006/main" count="187" uniqueCount="106">
  <si>
    <t>Room and Cabin Rentals</t>
  </si>
  <si>
    <t>Local Tours</t>
  </si>
  <si>
    <t>Equipment Rentals</t>
  </si>
  <si>
    <t>Paradise Lakes Resort</t>
  </si>
  <si>
    <t>Total</t>
  </si>
  <si>
    <t>Food &amp; Beverage</t>
  </si>
  <si>
    <t>Apparel</t>
  </si>
  <si>
    <t>April</t>
  </si>
  <si>
    <t>May</t>
  </si>
  <si>
    <t>June</t>
  </si>
  <si>
    <t>July</t>
  </si>
  <si>
    <t>August</t>
  </si>
  <si>
    <t>Second Quarter</t>
  </si>
  <si>
    <t>Third Quarter</t>
  </si>
  <si>
    <t>Totals</t>
  </si>
  <si>
    <t>Second and Third Quarter</t>
  </si>
  <si>
    <t>Expenses</t>
  </si>
  <si>
    <t>Revenue</t>
  </si>
  <si>
    <t>Administrative</t>
  </si>
  <si>
    <t>Management</t>
  </si>
  <si>
    <t>Operational</t>
  </si>
  <si>
    <t>Product ID</t>
  </si>
  <si>
    <t>Cost</t>
  </si>
  <si>
    <t>Waterproof matches</t>
  </si>
  <si>
    <t>PLR001</t>
  </si>
  <si>
    <t>PLR002</t>
  </si>
  <si>
    <t>PLR003</t>
  </si>
  <si>
    <t>PLR004</t>
  </si>
  <si>
    <t>PLR005</t>
  </si>
  <si>
    <t>PLR006</t>
  </si>
  <si>
    <t>PLR007</t>
  </si>
  <si>
    <t>PLR008</t>
  </si>
  <si>
    <t>PLR009</t>
  </si>
  <si>
    <t>PLR010</t>
  </si>
  <si>
    <t>PLR011</t>
  </si>
  <si>
    <t>Item</t>
  </si>
  <si>
    <t>Sales Price</t>
  </si>
  <si>
    <t>Boutique Merchandise</t>
  </si>
  <si>
    <t>Quantity</t>
  </si>
  <si>
    <t>Sun protection shampoo</t>
  </si>
  <si>
    <t>Sunscreen SPF50</t>
  </si>
  <si>
    <t>Folding chair</t>
  </si>
  <si>
    <t>Portable table</t>
  </si>
  <si>
    <t>Insect repellant</t>
  </si>
  <si>
    <t>Water bottle</t>
  </si>
  <si>
    <t>Sun visor</t>
  </si>
  <si>
    <t>Swim cap</t>
  </si>
  <si>
    <t>Lantern</t>
  </si>
  <si>
    <t>Flashlight</t>
  </si>
  <si>
    <t>Expense % Estimates</t>
  </si>
  <si>
    <t>Inventory Value at Cost</t>
  </si>
  <si>
    <t>Inventory Value at Retail</t>
  </si>
  <si>
    <t>Number of Months</t>
  </si>
  <si>
    <t>Sept</t>
  </si>
  <si>
    <t>Total Revenue</t>
  </si>
  <si>
    <t>Rental Revenues</t>
  </si>
  <si>
    <t>Profit Margin</t>
  </si>
  <si>
    <t>PLR012</t>
  </si>
  <si>
    <t>PLR013</t>
  </si>
  <si>
    <t>PLR014</t>
  </si>
  <si>
    <t>PLR015</t>
  </si>
  <si>
    <t>PLR016</t>
  </si>
  <si>
    <t>PLR017</t>
  </si>
  <si>
    <t>PLR018</t>
  </si>
  <si>
    <t>PLR019</t>
  </si>
  <si>
    <t>PLR020</t>
  </si>
  <si>
    <t>PLR021</t>
  </si>
  <si>
    <t>PLR022</t>
  </si>
  <si>
    <t>PLR023</t>
  </si>
  <si>
    <t>PLR024</t>
  </si>
  <si>
    <t>PLR025</t>
  </si>
  <si>
    <t>PLR026</t>
  </si>
  <si>
    <t>PLR027</t>
  </si>
  <si>
    <t>PLR028</t>
  </si>
  <si>
    <t>PLR029</t>
  </si>
  <si>
    <t>PLR030</t>
  </si>
  <si>
    <t>PLR031</t>
  </si>
  <si>
    <t>PLR032</t>
  </si>
  <si>
    <t>PLR033</t>
  </si>
  <si>
    <t>PLR034</t>
  </si>
  <si>
    <t>PLR035</t>
  </si>
  <si>
    <t>Camper ID</t>
  </si>
  <si>
    <t>Gender</t>
  </si>
  <si>
    <t>Age</t>
  </si>
  <si>
    <t>M</t>
  </si>
  <si>
    <t>F</t>
  </si>
  <si>
    <t>Paradise Lakes  Youth Camp</t>
  </si>
  <si>
    <t>Annual Attendance</t>
  </si>
  <si>
    <t>Mortgage and Leases</t>
  </si>
  <si>
    <t># of Days</t>
  </si>
  <si>
    <t>Total Days by Females</t>
  </si>
  <si>
    <t>Total Days by Males</t>
  </si>
  <si>
    <t>Revenue Below Average?</t>
  </si>
  <si>
    <t>Rounded Value at Cost</t>
  </si>
  <si>
    <t>Rounded Value at Retail</t>
  </si>
  <si>
    <t>New Canoe Purchases</t>
  </si>
  <si>
    <t>Estimated Monthly Payments</t>
  </si>
  <si>
    <t>6 Canoes</t>
  </si>
  <si>
    <t>15 Canoes</t>
  </si>
  <si>
    <t>Loan Amount</t>
  </si>
  <si>
    <t>Number of Years to Repay</t>
  </si>
  <si>
    <t>Interest Rate</t>
  </si>
  <si>
    <t>Payment</t>
  </si>
  <si>
    <t>Average Monthly Revenue</t>
  </si>
  <si>
    <t>Maximum Cabin Revenue</t>
  </si>
  <si>
    <t>Minimum Tour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</si>
</sst>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1"/>
    </font>
    <font>
      <sz val="14"/>
      <color theme="1"/>
      <name val="Calibri"/>
      <family val="1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164" fontId="3" fillId="0" borderId="2" xfId="1" applyNumberFormat="1" applyFont="1" applyBorder="1"/>
    <xf numFmtId="0" fontId="3" fillId="3" borderId="3" xfId="4" applyFont="1" applyFill="1" applyBorder="1" applyAlignment="1">
      <alignment horizontal="left" indent="2"/>
    </xf>
    <xf numFmtId="0" fontId="3" fillId="3" borderId="2" xfId="4" applyFont="1" applyFill="1" applyBorder="1" applyAlignment="1">
      <alignment horizontal="left" indent="2"/>
    </xf>
    <xf numFmtId="0" fontId="4" fillId="0" borderId="4" xfId="3" applyFont="1" applyBorder="1" applyAlignment="1">
      <alignment horizontal="right"/>
    </xf>
    <xf numFmtId="165" fontId="4" fillId="0" borderId="5" xfId="2" applyNumberFormat="1" applyFont="1" applyBorder="1"/>
    <xf numFmtId="0" fontId="0" fillId="0" borderId="2" xfId="0" applyBorder="1"/>
    <xf numFmtId="0" fontId="0" fillId="0" borderId="0" xfId="0" applyAlignment="1">
      <alignment horizontal="centerContinuous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Continuous"/>
    </xf>
    <xf numFmtId="44" fontId="0" fillId="0" borderId="2" xfId="2" applyFont="1" applyBorder="1"/>
    <xf numFmtId="0" fontId="7" fillId="3" borderId="6" xfId="4" applyFont="1" applyFill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6" xfId="4" applyFont="1" applyFill="1" applyBorder="1" applyAlignment="1">
      <alignment horizontal="center"/>
    </xf>
    <xf numFmtId="165" fontId="3" fillId="0" borderId="3" xfId="2" applyNumberFormat="1" applyFont="1" applyBorder="1"/>
    <xf numFmtId="44" fontId="0" fillId="0" borderId="0" xfId="0" applyNumberFormat="1"/>
    <xf numFmtId="0" fontId="3" fillId="0" borderId="2" xfId="4" applyFont="1" applyFill="1" applyBorder="1" applyAlignment="1">
      <alignment horizontal="left" indent="2"/>
    </xf>
    <xf numFmtId="44" fontId="8" fillId="0" borderId="2" xfId="0" applyNumberFormat="1" applyFont="1" applyBorder="1"/>
    <xf numFmtId="0" fontId="4" fillId="0" borderId="7" xfId="3" applyFont="1" applyBorder="1" applyAlignment="1">
      <alignment horizontal="right"/>
    </xf>
    <xf numFmtId="165" fontId="4" fillId="0" borderId="2" xfId="2" applyNumberFormat="1" applyFont="1" applyBorder="1"/>
    <xf numFmtId="0" fontId="4" fillId="0" borderId="9" xfId="3" applyFont="1" applyBorder="1" applyAlignment="1">
      <alignment horizontal="right"/>
    </xf>
    <xf numFmtId="165" fontId="4" fillId="0" borderId="9" xfId="2" applyNumberFormat="1" applyFont="1" applyBorder="1"/>
    <xf numFmtId="0" fontId="3" fillId="3" borderId="2" xfId="0" applyFont="1" applyFill="1" applyBorder="1" applyAlignment="1">
      <alignment horizontal="left" indent="2"/>
    </xf>
    <xf numFmtId="9" fontId="0" fillId="0" borderId="2" xfId="5" applyNumberFormat="1" applyFont="1" applyBorder="1"/>
    <xf numFmtId="0" fontId="4" fillId="0" borderId="0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 indent="2"/>
    </xf>
    <xf numFmtId="0" fontId="4" fillId="0" borderId="0" xfId="0" applyFont="1" applyAlignment="1">
      <alignment horizontal="right"/>
    </xf>
    <xf numFmtId="0" fontId="9" fillId="0" borderId="10" xfId="0" applyFont="1" applyBorder="1"/>
    <xf numFmtId="166" fontId="9" fillId="0" borderId="11" xfId="0" applyNumberFormat="1" applyFont="1" applyBorder="1"/>
    <xf numFmtId="0" fontId="9" fillId="0" borderId="12" xfId="0" applyFont="1" applyBorder="1"/>
    <xf numFmtId="0" fontId="9" fillId="0" borderId="13" xfId="0" applyNumberFormat="1" applyFont="1" applyBorder="1"/>
    <xf numFmtId="10" fontId="9" fillId="0" borderId="13" xfId="0" applyNumberFormat="1" applyFont="1" applyBorder="1"/>
    <xf numFmtId="0" fontId="9" fillId="4" borderId="14" xfId="0" applyFont="1" applyFill="1" applyBorder="1"/>
    <xf numFmtId="0" fontId="2" fillId="0" borderId="2" xfId="0" applyFont="1" applyBorder="1" applyAlignment="1">
      <alignment horizontal="center"/>
    </xf>
    <xf numFmtId="0" fontId="9" fillId="4" borderId="16" xfId="0" applyFont="1" applyFill="1" applyBorder="1"/>
    <xf numFmtId="0" fontId="9" fillId="4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44" fontId="0" fillId="0" borderId="3" xfId="2" applyFont="1" applyBorder="1"/>
    <xf numFmtId="9" fontId="0" fillId="0" borderId="3" xfId="5" applyNumberFormat="1" applyFont="1" applyBorder="1"/>
    <xf numFmtId="0" fontId="6" fillId="0" borderId="15" xfId="0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2" fillId="0" borderId="17" xfId="0" applyFont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2" fillId="0" borderId="19" xfId="0" applyFont="1" applyBorder="1" applyAlignment="1">
      <alignment horizontal="center"/>
    </xf>
    <xf numFmtId="0" fontId="0" fillId="0" borderId="8" xfId="0" applyBorder="1"/>
    <xf numFmtId="0" fontId="10" fillId="0" borderId="0" xfId="0" applyFont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/>
    <xf numFmtId="0" fontId="5" fillId="0" borderId="0" xfId="0" applyFont="1" applyBorder="1"/>
    <xf numFmtId="0" fontId="9" fillId="4" borderId="21" xfId="0" applyFont="1" applyFill="1" applyBorder="1" applyAlignment="1">
      <alignment horizontal="center"/>
    </xf>
    <xf numFmtId="166" fontId="9" fillId="0" borderId="22" xfId="2" applyNumberFormat="1" applyFont="1" applyBorder="1" applyAlignment="1">
      <alignment horizontal="right" indent="2"/>
    </xf>
    <xf numFmtId="0" fontId="9" fillId="0" borderId="23" xfId="0" applyNumberFormat="1" applyFont="1" applyBorder="1" applyAlignment="1">
      <alignment horizontal="right" indent="2"/>
    </xf>
    <xf numFmtId="10" fontId="9" fillId="0" borderId="23" xfId="0" applyNumberFormat="1" applyFont="1" applyBorder="1" applyAlignment="1">
      <alignment horizontal="right" indent="2"/>
    </xf>
    <xf numFmtId="166" fontId="9" fillId="4" borderId="9" xfId="2" applyNumberFormat="1" applyFont="1" applyFill="1" applyBorder="1" applyAlignment="1">
      <alignment horizontal="right" indent="2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3" fillId="0" borderId="2" xfId="0" applyNumberFormat="1" applyFont="1" applyBorder="1"/>
    <xf numFmtId="9" fontId="0" fillId="0" borderId="0" xfId="5" applyFont="1"/>
    <xf numFmtId="0" fontId="8" fillId="0" borderId="2" xfId="0" applyNumberFormat="1" applyFont="1" applyBorder="1"/>
    <xf numFmtId="44" fontId="0" fillId="0" borderId="0" xfId="0" applyNumberFormat="1" applyBorder="1"/>
  </cellXfs>
  <cellStyles count="6">
    <cellStyle name="20% - Accent1" xfId="4" builtinId="30"/>
    <cellStyle name="Comma" xfId="1" builtinId="3"/>
    <cellStyle name="Currency" xfId="2" builtinId="4"/>
    <cellStyle name="Normal" xfId="0" builtinId="0"/>
    <cellStyle name="Percent" xfId="5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28"/>
  <sheetViews>
    <sheetView topLeftCell="A10" zoomScaleNormal="100" workbookViewId="0">
      <selection activeCell="B22" sqref="B22"/>
    </sheetView>
  </sheetViews>
  <sheetFormatPr defaultRowHeight="15" x14ac:dyDescent="0.25"/>
  <cols>
    <col min="1" max="1" width="29.42578125" customWidth="1"/>
    <col min="2" max="7" width="11.5703125" customWidth="1"/>
    <col min="8" max="8" width="12.7109375" bestFit="1" customWidth="1"/>
    <col min="10" max="10" width="29.42578125" customWidth="1"/>
    <col min="11" max="11" width="13" customWidth="1"/>
  </cols>
  <sheetData>
    <row r="1" spans="1:11" ht="26.25" x14ac:dyDescent="0.4">
      <c r="A1" s="54" t="s">
        <v>3</v>
      </c>
      <c r="B1" s="10"/>
      <c r="C1" s="10"/>
      <c r="D1" s="10"/>
      <c r="E1" s="10"/>
      <c r="F1" s="10"/>
      <c r="G1" s="10"/>
      <c r="H1" s="10"/>
    </row>
    <row r="2" spans="1:11" ht="27" thickBot="1" x14ac:dyDescent="0.45">
      <c r="A2" s="55" t="s">
        <v>15</v>
      </c>
      <c r="B2" s="46"/>
      <c r="C2" s="46"/>
      <c r="D2" s="46"/>
      <c r="E2" s="46"/>
      <c r="F2" s="46"/>
      <c r="G2" s="46"/>
      <c r="H2" s="46"/>
    </row>
    <row r="3" spans="1:11" ht="28.5" customHeight="1" x14ac:dyDescent="0.35">
      <c r="B3" s="65" t="s">
        <v>12</v>
      </c>
      <c r="C3" s="65"/>
      <c r="D3" s="65"/>
      <c r="E3" s="66" t="s">
        <v>13</v>
      </c>
      <c r="F3" s="66"/>
      <c r="G3" s="66"/>
    </row>
    <row r="4" spans="1:11" ht="24" customHeight="1" x14ac:dyDescent="0.3">
      <c r="A4" s="13" t="s">
        <v>17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53</v>
      </c>
      <c r="H4" s="14" t="s">
        <v>14</v>
      </c>
    </row>
    <row r="5" spans="1:11" ht="15.75" x14ac:dyDescent="0.25">
      <c r="A5" s="3" t="s">
        <v>0</v>
      </c>
      <c r="B5" s="16">
        <v>5400</v>
      </c>
      <c r="C5" s="16">
        <v>5700</v>
      </c>
      <c r="D5" s="16">
        <v>6500</v>
      </c>
      <c r="E5" s="16">
        <v>6800</v>
      </c>
      <c r="F5" s="16">
        <v>8700</v>
      </c>
      <c r="G5" s="16">
        <v>5800</v>
      </c>
      <c r="H5" s="16">
        <f t="shared" ref="H5:H9" si="0">SUM(B5:G5)</f>
        <v>38900</v>
      </c>
    </row>
    <row r="6" spans="1:11" ht="15.75" x14ac:dyDescent="0.25">
      <c r="A6" s="4" t="s">
        <v>1</v>
      </c>
      <c r="B6" s="2">
        <v>876</v>
      </c>
      <c r="C6" s="2">
        <v>750</v>
      </c>
      <c r="D6" s="2">
        <v>968</v>
      </c>
      <c r="E6" s="2">
        <v>1254</v>
      </c>
      <c r="F6" s="2">
        <v>820</v>
      </c>
      <c r="G6" s="2">
        <v>925</v>
      </c>
      <c r="H6" s="2">
        <f t="shared" si="0"/>
        <v>5593</v>
      </c>
    </row>
    <row r="7" spans="1:11" ht="15.75" x14ac:dyDescent="0.25">
      <c r="A7" s="4" t="s">
        <v>2</v>
      </c>
      <c r="B7" s="2">
        <v>358</v>
      </c>
      <c r="C7" s="2">
        <v>250</v>
      </c>
      <c r="D7" s="2">
        <v>325</v>
      </c>
      <c r="E7" s="2">
        <v>345</v>
      </c>
      <c r="F7" s="2">
        <v>275</v>
      </c>
      <c r="G7" s="2">
        <v>375</v>
      </c>
      <c r="H7" s="2">
        <f t="shared" si="0"/>
        <v>1928</v>
      </c>
    </row>
    <row r="8" spans="1:11" ht="15.75" x14ac:dyDescent="0.25">
      <c r="A8" s="4" t="s">
        <v>5</v>
      </c>
      <c r="B8" s="2">
        <v>254</v>
      </c>
      <c r="C8" s="2">
        <v>209</v>
      </c>
      <c r="D8" s="2">
        <v>198</v>
      </c>
      <c r="E8" s="2">
        <v>402</v>
      </c>
      <c r="F8" s="2">
        <v>519</v>
      </c>
      <c r="G8" s="2">
        <v>677</v>
      </c>
      <c r="H8" s="2">
        <f t="shared" si="0"/>
        <v>2259</v>
      </c>
    </row>
    <row r="9" spans="1:11" ht="15.75" x14ac:dyDescent="0.25">
      <c r="A9" s="4" t="s">
        <v>6</v>
      </c>
      <c r="B9" s="2">
        <v>451</v>
      </c>
      <c r="C9" s="2">
        <v>356</v>
      </c>
      <c r="D9" s="2">
        <v>543</v>
      </c>
      <c r="E9" s="2">
        <v>532</v>
      </c>
      <c r="F9" s="2">
        <v>450</v>
      </c>
      <c r="G9" s="2">
        <v>534</v>
      </c>
      <c r="H9" s="2">
        <f t="shared" si="0"/>
        <v>2866</v>
      </c>
    </row>
    <row r="10" spans="1:11" ht="24" customHeight="1" x14ac:dyDescent="0.25">
      <c r="A10" s="20" t="s">
        <v>55</v>
      </c>
      <c r="B10" s="21">
        <f>B5+B7</f>
        <v>5758</v>
      </c>
      <c r="C10" s="21">
        <f t="shared" ref="C10:H10" si="1">C5+C7</f>
        <v>5950</v>
      </c>
      <c r="D10" s="21">
        <f t="shared" si="1"/>
        <v>6825</v>
      </c>
      <c r="E10" s="21">
        <f t="shared" si="1"/>
        <v>7145</v>
      </c>
      <c r="F10" s="21">
        <f t="shared" si="1"/>
        <v>8975</v>
      </c>
      <c r="G10" s="21">
        <f t="shared" si="1"/>
        <v>6175</v>
      </c>
      <c r="H10" s="21">
        <f t="shared" si="1"/>
        <v>40828</v>
      </c>
    </row>
    <row r="11" spans="1:11" ht="24" customHeight="1" thickBot="1" x14ac:dyDescent="0.3">
      <c r="A11" s="22" t="s">
        <v>54</v>
      </c>
      <c r="B11" s="23">
        <f>SUM(B5:B9)</f>
        <v>7339</v>
      </c>
      <c r="C11" s="23">
        <f t="shared" ref="C11:H11" si="2">SUM(C5:C9)</f>
        <v>7265</v>
      </c>
      <c r="D11" s="23">
        <f t="shared" si="2"/>
        <v>8534</v>
      </c>
      <c r="E11" s="23">
        <f t="shared" si="2"/>
        <v>9333</v>
      </c>
      <c r="F11" s="23">
        <f t="shared" si="2"/>
        <v>10764</v>
      </c>
      <c r="G11" s="23">
        <f t="shared" si="2"/>
        <v>8311</v>
      </c>
      <c r="H11" s="23">
        <f t="shared" si="2"/>
        <v>51546</v>
      </c>
    </row>
    <row r="12" spans="1:11" ht="15.75" thickTop="1" x14ac:dyDescent="0.25">
      <c r="E12" s="51"/>
    </row>
    <row r="13" spans="1:11" x14ac:dyDescent="0.25">
      <c r="E13" s="51"/>
    </row>
    <row r="14" spans="1:11" ht="18.75" x14ac:dyDescent="0.3">
      <c r="A14" s="12" t="s">
        <v>16</v>
      </c>
      <c r="B14" s="15" t="s">
        <v>7</v>
      </c>
      <c r="C14" s="15" t="s">
        <v>8</v>
      </c>
      <c r="D14" s="15" t="s">
        <v>9</v>
      </c>
      <c r="E14" s="15" t="s">
        <v>10</v>
      </c>
      <c r="F14" s="15" t="s">
        <v>11</v>
      </c>
      <c r="G14" s="15" t="s">
        <v>53</v>
      </c>
      <c r="H14" s="15" t="s">
        <v>14</v>
      </c>
      <c r="J14" s="18" t="s">
        <v>54</v>
      </c>
      <c r="K14" s="19">
        <f>SUM(Monthly_Rev)</f>
        <v>51546</v>
      </c>
    </row>
    <row r="15" spans="1:11" ht="15.75" x14ac:dyDescent="0.25">
      <c r="A15" s="24" t="s">
        <v>18</v>
      </c>
      <c r="B15" s="70">
        <f>B11*'Rates&amp;Tables'!$G$2</f>
        <v>587.12</v>
      </c>
      <c r="C15" s="70">
        <f>C11*'Rates&amp;Tables'!$G$2</f>
        <v>581.20000000000005</v>
      </c>
      <c r="D15" s="70">
        <f>D11*'Rates&amp;Tables'!$G$2</f>
        <v>682.72</v>
      </c>
      <c r="E15" s="70">
        <f>E11*'Rates&amp;Tables'!$G$2</f>
        <v>746.64</v>
      </c>
      <c r="F15" s="70">
        <f>F11*'Rates&amp;Tables'!$G$2</f>
        <v>861.12</v>
      </c>
      <c r="G15" s="70">
        <f>G11*'Rates&amp;Tables'!$G$2</f>
        <v>664.88</v>
      </c>
      <c r="H15" s="70">
        <f>SUM(B15:G15)</f>
        <v>4123.68</v>
      </c>
      <c r="J15" s="18" t="s">
        <v>103</v>
      </c>
      <c r="K15" s="19">
        <f>AVERAGE(Monthly_Rev)</f>
        <v>8591</v>
      </c>
    </row>
    <row r="16" spans="1:11" ht="15.75" x14ac:dyDescent="0.25">
      <c r="A16" s="24" t="s">
        <v>19</v>
      </c>
      <c r="B16" s="2">
        <f>B$11*'Rates&amp;Tables'!$G3</f>
        <v>1100.8499999999999</v>
      </c>
      <c r="C16" s="2">
        <f>C$11*'Rates&amp;Tables'!$G3</f>
        <v>1089.75</v>
      </c>
      <c r="D16" s="2">
        <f>D$11*'Rates&amp;Tables'!$G3</f>
        <v>1280.0999999999999</v>
      </c>
      <c r="E16" s="2">
        <f>E$11*'Rates&amp;Tables'!$G3</f>
        <v>1399.95</v>
      </c>
      <c r="F16" s="2">
        <f>F$11*'Rates&amp;Tables'!$G3</f>
        <v>1614.6</v>
      </c>
      <c r="G16" s="2">
        <f>G$11*'Rates&amp;Tables'!$G3</f>
        <v>1246.6499999999999</v>
      </c>
      <c r="H16" s="2">
        <f>SUM(B16:G16)</f>
        <v>7731.9</v>
      </c>
      <c r="J16" s="18" t="s">
        <v>104</v>
      </c>
      <c r="K16" s="19">
        <f>MAX(B5:G5)</f>
        <v>8700</v>
      </c>
    </row>
    <row r="17" spans="1:11" ht="15.75" x14ac:dyDescent="0.25">
      <c r="A17" s="24" t="s">
        <v>20</v>
      </c>
      <c r="B17" s="2">
        <f>B$11*'Rates&amp;Tables'!$G4</f>
        <v>2568.6499999999996</v>
      </c>
      <c r="C17" s="2">
        <f>C$11*'Rates&amp;Tables'!$G4</f>
        <v>2542.75</v>
      </c>
      <c r="D17" s="2">
        <f>D$11*'Rates&amp;Tables'!$G4</f>
        <v>2986.8999999999996</v>
      </c>
      <c r="E17" s="2">
        <f>E$11*'Rates&amp;Tables'!$G4</f>
        <v>3266.5499999999997</v>
      </c>
      <c r="F17" s="2">
        <f>F$11*'Rates&amp;Tables'!$G4</f>
        <v>3767.3999999999996</v>
      </c>
      <c r="G17" s="2">
        <f>G$11*'Rates&amp;Tables'!$G4</f>
        <v>2908.85</v>
      </c>
      <c r="H17" s="2">
        <f t="shared" ref="H15:H18" si="3">SUM(B17:G17)</f>
        <v>18041.099999999999</v>
      </c>
      <c r="J17" s="18" t="s">
        <v>105</v>
      </c>
      <c r="K17" s="19">
        <f>MIN(B6:G6)</f>
        <v>750</v>
      </c>
    </row>
    <row r="18" spans="1:11" ht="15.75" x14ac:dyDescent="0.25">
      <c r="A18" s="24" t="s">
        <v>88</v>
      </c>
      <c r="B18" s="2">
        <v>1350</v>
      </c>
      <c r="C18" s="2">
        <v>1350</v>
      </c>
      <c r="D18" s="2">
        <v>1350</v>
      </c>
      <c r="E18" s="2">
        <v>1350</v>
      </c>
      <c r="F18" s="2">
        <v>1350</v>
      </c>
      <c r="G18" s="2">
        <v>1350</v>
      </c>
      <c r="H18" s="2">
        <f t="shared" si="3"/>
        <v>8100</v>
      </c>
      <c r="J18" s="18" t="s">
        <v>52</v>
      </c>
      <c r="K18" s="72">
        <f>COUNTA(B4:G4)</f>
        <v>6</v>
      </c>
    </row>
    <row r="19" spans="1:11" ht="16.5" thickBot="1" x14ac:dyDescent="0.3">
      <c r="A19" s="5" t="s">
        <v>4</v>
      </c>
      <c r="B19" s="6">
        <f>SUM(B15:B18)</f>
        <v>5606.619999999999</v>
      </c>
      <c r="C19" s="6">
        <f t="shared" ref="C19:G19" si="4">SUM(C14:C18)</f>
        <v>5563.7</v>
      </c>
      <c r="D19" s="6">
        <f t="shared" si="4"/>
        <v>6299.7199999999993</v>
      </c>
      <c r="E19" s="6">
        <f t="shared" si="4"/>
        <v>6763.1399999999994</v>
      </c>
      <c r="F19" s="6">
        <f t="shared" si="4"/>
        <v>7593.119999999999</v>
      </c>
      <c r="G19" s="6">
        <f t="shared" si="4"/>
        <v>6170.3799999999992</v>
      </c>
      <c r="H19" s="6">
        <f>SUM(H15:H18)</f>
        <v>37996.68</v>
      </c>
    </row>
    <row r="20" spans="1:11" ht="15.75" thickTop="1" x14ac:dyDescent="0.25"/>
    <row r="21" spans="1:11" ht="15.75" x14ac:dyDescent="0.25">
      <c r="A21" s="26" t="s">
        <v>56</v>
      </c>
      <c r="B21" s="71">
        <f>(B11-B19)/B11</f>
        <v>0.23605123313802984</v>
      </c>
      <c r="C21" s="71">
        <f t="shared" ref="C21:G21" si="5">(C11-C19)/C11</f>
        <v>0.23417756366139025</v>
      </c>
      <c r="D21" s="71">
        <f t="shared" si="5"/>
        <v>0.26180923365362091</v>
      </c>
      <c r="E21" s="71">
        <f t="shared" si="5"/>
        <v>0.27535197685631635</v>
      </c>
      <c r="F21" s="71">
        <f t="shared" si="5"/>
        <v>0.29458193979933117</v>
      </c>
      <c r="G21" s="71">
        <f t="shared" si="5"/>
        <v>0.25756467332450977</v>
      </c>
    </row>
    <row r="22" spans="1:11" ht="15.75" x14ac:dyDescent="0.25">
      <c r="A22" s="32" t="s">
        <v>92</v>
      </c>
      <c r="B22" t="str">
        <f>IF(B11&lt;$K$15,"Yes","No")</f>
        <v>Yes</v>
      </c>
      <c r="C22" t="str">
        <f t="shared" ref="C22:G22" si="6">IF(C11&lt;$K$15,"Yes","No")</f>
        <v>Yes</v>
      </c>
      <c r="D22" t="str">
        <f t="shared" si="6"/>
        <v>Yes</v>
      </c>
      <c r="E22" t="str">
        <f t="shared" si="6"/>
        <v>No</v>
      </c>
      <c r="F22" t="str">
        <f>IF(F11&lt;$K$15,"Yes","No")</f>
        <v>No</v>
      </c>
      <c r="G22" t="str">
        <f>IF(G11&lt;$K$15,"Yes","No")</f>
        <v>Yes</v>
      </c>
    </row>
    <row r="25" spans="1:11" x14ac:dyDescent="0.25">
      <c r="A25" s="1">
        <f ca="1">TODAY()</f>
        <v>44802</v>
      </c>
    </row>
    <row r="28" spans="1:11" x14ac:dyDescent="0.25">
      <c r="B28" s="1"/>
    </row>
  </sheetData>
  <mergeCells count="2">
    <mergeCell ref="B3:D3"/>
    <mergeCell ref="E3:G3"/>
  </mergeCells>
  <printOptions horizontalCentered="1"/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20"/>
  <sheetViews>
    <sheetView tabSelected="1" zoomScaleNormal="100" workbookViewId="0">
      <selection activeCell="C16" sqref="C16:D16"/>
    </sheetView>
  </sheetViews>
  <sheetFormatPr defaultRowHeight="15" x14ac:dyDescent="0.25"/>
  <cols>
    <col min="1" max="1" width="9.85546875" customWidth="1"/>
    <col min="2" max="2" width="23" bestFit="1" customWidth="1"/>
    <col min="3" max="3" width="10.28515625" customWidth="1"/>
    <col min="4" max="4" width="10.85546875" customWidth="1"/>
    <col min="5" max="5" width="12.42578125" customWidth="1"/>
  </cols>
  <sheetData>
    <row r="1" spans="1:8" ht="26.25" x14ac:dyDescent="0.4">
      <c r="A1" s="54" t="s">
        <v>3</v>
      </c>
      <c r="B1" s="8"/>
      <c r="C1" s="8"/>
      <c r="D1" s="8"/>
      <c r="E1" s="8"/>
      <c r="F1" s="56"/>
    </row>
    <row r="2" spans="1:8" ht="27" thickBot="1" x14ac:dyDescent="0.45">
      <c r="A2" s="55" t="s">
        <v>37</v>
      </c>
      <c r="B2" s="48"/>
      <c r="C2" s="48"/>
      <c r="D2" s="48"/>
      <c r="E2" s="48"/>
      <c r="F2" s="57"/>
      <c r="G2" s="51"/>
      <c r="H2" s="51"/>
    </row>
    <row r="3" spans="1:8" ht="21" customHeight="1" x14ac:dyDescent="0.25">
      <c r="A3" s="42" t="s">
        <v>21</v>
      </c>
      <c r="B3" s="42" t="s">
        <v>35</v>
      </c>
      <c r="C3" s="42" t="s">
        <v>22</v>
      </c>
      <c r="D3" s="42" t="s">
        <v>36</v>
      </c>
      <c r="E3" s="52" t="s">
        <v>38</v>
      </c>
      <c r="F3" s="51"/>
      <c r="G3" s="51"/>
    </row>
    <row r="4" spans="1:8" ht="21" customHeight="1" x14ac:dyDescent="0.25">
      <c r="A4" s="7" t="s">
        <v>34</v>
      </c>
      <c r="B4" s="7" t="s">
        <v>48</v>
      </c>
      <c r="C4" s="11">
        <f>VLOOKUP(A4,'Rates&amp;Tables'!$A$2:$C$12,3,FALSE)</f>
        <v>8.75</v>
      </c>
      <c r="D4" s="11">
        <v>15</v>
      </c>
      <c r="E4" s="7">
        <v>2</v>
      </c>
      <c r="G4" s="73"/>
      <c r="H4" s="17"/>
    </row>
    <row r="5" spans="1:8" ht="21" customHeight="1" x14ac:dyDescent="0.25">
      <c r="A5" s="7" t="s">
        <v>26</v>
      </c>
      <c r="B5" s="7" t="s">
        <v>41</v>
      </c>
      <c r="C5" s="11">
        <f>VLOOKUP(A5,'Rates&amp;Tables'!$A$2:$C$12,3,FALSE)</f>
        <v>10.25</v>
      </c>
      <c r="D5" s="11">
        <v>15.99</v>
      </c>
      <c r="E5" s="7">
        <v>3</v>
      </c>
      <c r="G5" s="73"/>
      <c r="H5" s="17"/>
    </row>
    <row r="6" spans="1:8" ht="21" customHeight="1" x14ac:dyDescent="0.25">
      <c r="A6" s="7" t="s">
        <v>28</v>
      </c>
      <c r="B6" s="7" t="s">
        <v>43</v>
      </c>
      <c r="C6" s="11">
        <f>VLOOKUP(A6,'Rates&amp;Tables'!$A$2:$C$12,3,FALSE)</f>
        <v>2.4500000000000002</v>
      </c>
      <c r="D6" s="11">
        <v>5.45</v>
      </c>
      <c r="E6" s="7">
        <v>3</v>
      </c>
      <c r="G6" s="73"/>
      <c r="H6" s="17"/>
    </row>
    <row r="7" spans="1:8" ht="21" customHeight="1" x14ac:dyDescent="0.25">
      <c r="A7" s="7" t="s">
        <v>33</v>
      </c>
      <c r="B7" s="7" t="s">
        <v>47</v>
      </c>
      <c r="C7" s="11">
        <f>VLOOKUP(A7,'Rates&amp;Tables'!$A$2:$C$12,3,FALSE)</f>
        <v>8.5</v>
      </c>
      <c r="D7" s="11">
        <v>15.5</v>
      </c>
      <c r="E7" s="7">
        <v>3</v>
      </c>
      <c r="G7" s="73"/>
      <c r="H7" s="17"/>
    </row>
    <row r="8" spans="1:8" ht="21" customHeight="1" x14ac:dyDescent="0.25">
      <c r="A8" s="7" t="s">
        <v>27</v>
      </c>
      <c r="B8" s="7" t="s">
        <v>42</v>
      </c>
      <c r="C8" s="11">
        <f>VLOOKUP(A8,'Rates&amp;Tables'!$A$2:$C$12,3,FALSE)</f>
        <v>7.5</v>
      </c>
      <c r="D8" s="11">
        <v>12.45</v>
      </c>
      <c r="E8" s="7">
        <v>2</v>
      </c>
      <c r="G8" s="73"/>
      <c r="H8" s="17"/>
    </row>
    <row r="9" spans="1:8" ht="21" customHeight="1" x14ac:dyDescent="0.25">
      <c r="A9" s="7" t="s">
        <v>24</v>
      </c>
      <c r="B9" s="7" t="s">
        <v>39</v>
      </c>
      <c r="C9" s="11">
        <f>VLOOKUP(A9,'Rates&amp;Tables'!$A$2:$C$12,3,FALSE)</f>
        <v>3.75</v>
      </c>
      <c r="D9" s="11">
        <v>7</v>
      </c>
      <c r="E9" s="7">
        <v>3</v>
      </c>
      <c r="G9" s="73"/>
      <c r="H9" s="17"/>
    </row>
    <row r="10" spans="1:8" ht="21" customHeight="1" x14ac:dyDescent="0.25">
      <c r="A10" s="7" t="s">
        <v>31</v>
      </c>
      <c r="B10" s="7" t="s">
        <v>45</v>
      </c>
      <c r="C10" s="11">
        <f>VLOOKUP(A10,'Rates&amp;Tables'!$A$2:$C$12,3,FALSE)</f>
        <v>3.1</v>
      </c>
      <c r="D10" s="11">
        <v>4.75</v>
      </c>
      <c r="E10" s="7">
        <v>3</v>
      </c>
      <c r="G10" s="73"/>
      <c r="H10" s="17"/>
    </row>
    <row r="11" spans="1:8" ht="21" customHeight="1" x14ac:dyDescent="0.25">
      <c r="A11" s="7" t="s">
        <v>25</v>
      </c>
      <c r="B11" s="7" t="s">
        <v>40</v>
      </c>
      <c r="C11" s="11">
        <f>VLOOKUP(A11,'Rates&amp;Tables'!$A$2:$C$12,3,FALSE)</f>
        <v>3.25</v>
      </c>
      <c r="D11" s="11">
        <v>6.5</v>
      </c>
      <c r="E11" s="7">
        <v>2</v>
      </c>
      <c r="G11" s="73"/>
      <c r="H11" s="17"/>
    </row>
    <row r="12" spans="1:8" ht="21" customHeight="1" x14ac:dyDescent="0.25">
      <c r="A12" s="7" t="s">
        <v>32</v>
      </c>
      <c r="B12" s="7" t="s">
        <v>46</v>
      </c>
      <c r="C12" s="11">
        <f>VLOOKUP(A12,'Rates&amp;Tables'!$A$2:$C$12,3,FALSE)</f>
        <v>3.25</v>
      </c>
      <c r="D12" s="11">
        <v>6.5</v>
      </c>
      <c r="E12" s="53">
        <v>2</v>
      </c>
      <c r="G12" s="73"/>
      <c r="H12" s="17"/>
    </row>
    <row r="13" spans="1:8" ht="21" customHeight="1" x14ac:dyDescent="0.25">
      <c r="A13" s="7" t="s">
        <v>30</v>
      </c>
      <c r="B13" s="7" t="s">
        <v>44</v>
      </c>
      <c r="C13" s="11">
        <f>VLOOKUP(A13,'Rates&amp;Tables'!$A$2:$C$12,3,FALSE)</f>
        <v>1.25</v>
      </c>
      <c r="D13" s="11">
        <v>3.75</v>
      </c>
      <c r="E13" s="53">
        <v>3</v>
      </c>
      <c r="G13" s="73"/>
      <c r="H13" s="17"/>
    </row>
    <row r="14" spans="1:8" ht="21" customHeight="1" x14ac:dyDescent="0.25">
      <c r="A14" s="7" t="s">
        <v>29</v>
      </c>
      <c r="B14" s="7" t="s">
        <v>23</v>
      </c>
      <c r="C14" s="11">
        <f>VLOOKUP(A14,'Rates&amp;Tables'!$A$2:$C$12,3,FALSE)</f>
        <v>0.75</v>
      </c>
      <c r="D14" s="11">
        <v>1.05</v>
      </c>
      <c r="E14" s="7">
        <v>2</v>
      </c>
      <c r="G14" s="73"/>
      <c r="H14" s="17"/>
    </row>
    <row r="16" spans="1:8" ht="24.75" customHeight="1" x14ac:dyDescent="0.25">
      <c r="B16" s="7" t="s">
        <v>50</v>
      </c>
      <c r="C16" s="67">
        <f>SUMPRODUCT(C4:C14,E4:E14)</f>
        <v>134.89999999999998</v>
      </c>
      <c r="D16" s="68"/>
    </row>
    <row r="17" spans="2:4" ht="24.75" customHeight="1" x14ac:dyDescent="0.25">
      <c r="B17" s="7" t="s">
        <v>51</v>
      </c>
      <c r="C17" s="67">
        <f>SUMPRODUCT(D4:D14,E4:E14)</f>
        <v>240.32</v>
      </c>
      <c r="D17" s="68"/>
    </row>
    <row r="19" spans="2:4" ht="24.75" customHeight="1" x14ac:dyDescent="0.25">
      <c r="B19" s="7" t="s">
        <v>93</v>
      </c>
      <c r="C19" s="67">
        <f>ROUND(C16,0)</f>
        <v>135</v>
      </c>
      <c r="D19" s="68"/>
    </row>
    <row r="20" spans="2:4" ht="24.75" customHeight="1" x14ac:dyDescent="0.25">
      <c r="B20" s="7" t="s">
        <v>94</v>
      </c>
      <c r="C20" s="67">
        <f>ROUND(C17,0)</f>
        <v>240</v>
      </c>
      <c r="D20" s="68"/>
    </row>
  </sheetData>
  <sortState ref="A4:E14">
    <sortCondition ref="B4:B14"/>
  </sortState>
  <mergeCells count="4">
    <mergeCell ref="C16:D16"/>
    <mergeCell ref="C17:D17"/>
    <mergeCell ref="C19:D19"/>
    <mergeCell ref="C20:D20"/>
  </mergeCell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3"/>
  <sheetViews>
    <sheetView zoomScaleNormal="100" workbookViewId="0"/>
  </sheetViews>
  <sheetFormatPr defaultRowHeight="15" x14ac:dyDescent="0.25"/>
  <cols>
    <col min="1" max="1" width="10.140625" bestFit="1" customWidth="1"/>
    <col min="2" max="2" width="23" bestFit="1" customWidth="1"/>
    <col min="3" max="3" width="8" bestFit="1" customWidth="1"/>
    <col min="6" max="6" width="14.28515625" bestFit="1" customWidth="1"/>
    <col min="7" max="7" width="13.28515625" customWidth="1"/>
  </cols>
  <sheetData>
    <row r="1" spans="1:8" x14ac:dyDescent="0.25">
      <c r="A1" s="39" t="s">
        <v>21</v>
      </c>
      <c r="B1" s="9" t="s">
        <v>35</v>
      </c>
      <c r="C1" s="9" t="s">
        <v>22</v>
      </c>
      <c r="F1" s="69" t="s">
        <v>49</v>
      </c>
      <c r="G1" s="69"/>
    </row>
    <row r="2" spans="1:8" x14ac:dyDescent="0.25">
      <c r="A2" s="7" t="s">
        <v>24</v>
      </c>
      <c r="B2" s="7" t="s">
        <v>39</v>
      </c>
      <c r="C2" s="11">
        <v>3.75</v>
      </c>
      <c r="D2" s="50"/>
      <c r="E2" s="58"/>
      <c r="F2" s="7" t="s">
        <v>18</v>
      </c>
      <c r="G2" s="25">
        <v>0.08</v>
      </c>
      <c r="H2" s="50"/>
    </row>
    <row r="3" spans="1:8" x14ac:dyDescent="0.25">
      <c r="A3" s="43" t="s">
        <v>25</v>
      </c>
      <c r="B3" s="43" t="s">
        <v>40</v>
      </c>
      <c r="C3" s="44">
        <v>3.25</v>
      </c>
      <c r="E3" s="51"/>
      <c r="F3" s="43" t="s">
        <v>19</v>
      </c>
      <c r="G3" s="45">
        <v>0.15</v>
      </c>
    </row>
    <row r="4" spans="1:8" x14ac:dyDescent="0.25">
      <c r="A4" s="7" t="s">
        <v>26</v>
      </c>
      <c r="B4" s="7" t="s">
        <v>41</v>
      </c>
      <c r="C4" s="11">
        <v>10.25</v>
      </c>
      <c r="F4" s="7" t="s">
        <v>20</v>
      </c>
      <c r="G4" s="25">
        <v>0.35</v>
      </c>
    </row>
    <row r="5" spans="1:8" x14ac:dyDescent="0.25">
      <c r="A5" s="7" t="s">
        <v>27</v>
      </c>
      <c r="B5" s="7" t="s">
        <v>42</v>
      </c>
      <c r="C5" s="11">
        <v>7.5</v>
      </c>
    </row>
    <row r="6" spans="1:8" x14ac:dyDescent="0.25">
      <c r="A6" s="7" t="s">
        <v>28</v>
      </c>
      <c r="B6" s="7" t="s">
        <v>43</v>
      </c>
      <c r="C6" s="11">
        <v>2.4500000000000002</v>
      </c>
    </row>
    <row r="7" spans="1:8" x14ac:dyDescent="0.25">
      <c r="A7" s="7" t="s">
        <v>29</v>
      </c>
      <c r="B7" s="7" t="s">
        <v>23</v>
      </c>
      <c r="C7" s="11">
        <v>0.75</v>
      </c>
    </row>
    <row r="8" spans="1:8" x14ac:dyDescent="0.25">
      <c r="A8" s="7" t="s">
        <v>30</v>
      </c>
      <c r="B8" s="7" t="s">
        <v>44</v>
      </c>
      <c r="C8" s="11">
        <v>1.25</v>
      </c>
    </row>
    <row r="9" spans="1:8" x14ac:dyDescent="0.25">
      <c r="A9" s="7" t="s">
        <v>31</v>
      </c>
      <c r="B9" s="7" t="s">
        <v>45</v>
      </c>
      <c r="C9" s="11">
        <v>3.1</v>
      </c>
    </row>
    <row r="10" spans="1:8" x14ac:dyDescent="0.25">
      <c r="A10" s="7" t="s">
        <v>32</v>
      </c>
      <c r="B10" s="7" t="s">
        <v>46</v>
      </c>
      <c r="C10" s="11">
        <v>3.25</v>
      </c>
    </row>
    <row r="11" spans="1:8" x14ac:dyDescent="0.25">
      <c r="A11" s="7" t="s">
        <v>33</v>
      </c>
      <c r="B11" s="7" t="s">
        <v>47</v>
      </c>
      <c r="C11" s="11">
        <v>8.5</v>
      </c>
    </row>
    <row r="12" spans="1:8" x14ac:dyDescent="0.25">
      <c r="A12" s="7" t="s">
        <v>34</v>
      </c>
      <c r="B12" s="7" t="s">
        <v>48</v>
      </c>
      <c r="C12" s="11">
        <v>8.75</v>
      </c>
      <c r="E12" s="51"/>
    </row>
    <row r="13" spans="1:8" x14ac:dyDescent="0.25">
      <c r="E13" s="51"/>
    </row>
  </sheetData>
  <mergeCells count="1">
    <mergeCell ref="F1:G1"/>
  </mergeCells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38"/>
  <sheetViews>
    <sheetView zoomScaleNormal="100" workbookViewId="0">
      <selection activeCell="H5" sqref="H5"/>
    </sheetView>
  </sheetViews>
  <sheetFormatPr defaultRowHeight="15" x14ac:dyDescent="0.25"/>
  <cols>
    <col min="1" max="1" width="16.28515625" customWidth="1"/>
    <col min="2" max="3" width="11.140625" customWidth="1"/>
    <col min="4" max="4" width="12.5703125" customWidth="1"/>
    <col min="6" max="6" width="10.85546875" customWidth="1"/>
    <col min="7" max="7" width="9.7109375" customWidth="1"/>
    <col min="8" max="8" width="12.7109375" customWidth="1"/>
  </cols>
  <sheetData>
    <row r="1" spans="1:8" ht="26.25" x14ac:dyDescent="0.4">
      <c r="A1" s="54" t="s">
        <v>86</v>
      </c>
      <c r="B1" s="28"/>
      <c r="C1" s="28"/>
      <c r="D1" s="28"/>
      <c r="E1" s="27"/>
    </row>
    <row r="2" spans="1:8" ht="27" thickBot="1" x14ac:dyDescent="0.45">
      <c r="A2" s="55" t="s">
        <v>87</v>
      </c>
      <c r="B2" s="47"/>
      <c r="C2" s="47"/>
      <c r="D2" s="47"/>
      <c r="E2" s="59"/>
      <c r="F2" s="51"/>
      <c r="G2" s="51"/>
      <c r="H2" s="51"/>
    </row>
    <row r="3" spans="1:8" ht="23.25" customHeight="1" x14ac:dyDescent="0.25">
      <c r="A3" s="42" t="s">
        <v>81</v>
      </c>
      <c r="B3" s="42" t="s">
        <v>82</v>
      </c>
      <c r="C3" s="42" t="s">
        <v>89</v>
      </c>
      <c r="D3" s="49" t="s">
        <v>83</v>
      </c>
      <c r="E3" s="51"/>
      <c r="F3" s="51"/>
      <c r="G3" s="51"/>
    </row>
    <row r="4" spans="1:8" x14ac:dyDescent="0.25">
      <c r="A4" s="31" t="s">
        <v>24</v>
      </c>
      <c r="B4" s="29" t="s">
        <v>84</v>
      </c>
      <c r="C4" s="29">
        <v>5</v>
      </c>
      <c r="D4" s="29">
        <v>13</v>
      </c>
      <c r="F4" s="7" t="s">
        <v>90</v>
      </c>
      <c r="G4" s="7"/>
      <c r="H4" s="7">
        <f>SUMIF(B4:B38,"F",C4:C38)</f>
        <v>117</v>
      </c>
    </row>
    <row r="5" spans="1:8" x14ac:dyDescent="0.25">
      <c r="A5" s="31" t="s">
        <v>25</v>
      </c>
      <c r="B5" s="29" t="s">
        <v>85</v>
      </c>
      <c r="C5" s="29">
        <v>6</v>
      </c>
      <c r="D5" s="29">
        <v>12</v>
      </c>
      <c r="F5" s="7" t="s">
        <v>91</v>
      </c>
      <c r="G5" s="7"/>
      <c r="H5" s="7">
        <f>SUMIF(B4:B38,"M",C4:C38)</f>
        <v>76</v>
      </c>
    </row>
    <row r="6" spans="1:8" x14ac:dyDescent="0.25">
      <c r="A6" s="31" t="s">
        <v>26</v>
      </c>
      <c r="B6" s="30" t="s">
        <v>85</v>
      </c>
      <c r="C6" s="30">
        <v>8</v>
      </c>
      <c r="D6" s="29">
        <v>8</v>
      </c>
    </row>
    <row r="7" spans="1:8" x14ac:dyDescent="0.25">
      <c r="A7" s="31" t="s">
        <v>27</v>
      </c>
      <c r="B7" s="30" t="s">
        <v>85</v>
      </c>
      <c r="C7" s="30">
        <v>7</v>
      </c>
      <c r="D7" s="29">
        <v>11</v>
      </c>
    </row>
    <row r="8" spans="1:8" x14ac:dyDescent="0.25">
      <c r="A8" s="31" t="s">
        <v>28</v>
      </c>
      <c r="B8" s="30" t="s">
        <v>84</v>
      </c>
      <c r="C8" s="30">
        <v>5</v>
      </c>
      <c r="D8" s="29">
        <v>13</v>
      </c>
    </row>
    <row r="9" spans="1:8" x14ac:dyDescent="0.25">
      <c r="A9" s="31" t="s">
        <v>29</v>
      </c>
      <c r="B9" s="30" t="s">
        <v>84</v>
      </c>
      <c r="C9" s="30">
        <v>3</v>
      </c>
      <c r="D9" s="29">
        <v>11</v>
      </c>
    </row>
    <row r="10" spans="1:8" x14ac:dyDescent="0.25">
      <c r="A10" s="31" t="s">
        <v>30</v>
      </c>
      <c r="B10" s="30" t="s">
        <v>84</v>
      </c>
      <c r="C10" s="30">
        <v>8</v>
      </c>
      <c r="D10" s="29">
        <v>9</v>
      </c>
    </row>
    <row r="11" spans="1:8" x14ac:dyDescent="0.25">
      <c r="A11" s="31" t="s">
        <v>31</v>
      </c>
      <c r="B11" s="30" t="s">
        <v>85</v>
      </c>
      <c r="C11" s="30">
        <v>4</v>
      </c>
      <c r="D11" s="29">
        <v>11</v>
      </c>
    </row>
    <row r="12" spans="1:8" x14ac:dyDescent="0.25">
      <c r="A12" s="31" t="s">
        <v>32</v>
      </c>
      <c r="B12" s="30" t="s">
        <v>85</v>
      </c>
      <c r="C12" s="30">
        <v>2</v>
      </c>
      <c r="D12" s="29">
        <v>10</v>
      </c>
      <c r="E12" s="51"/>
    </row>
    <row r="13" spans="1:8" x14ac:dyDescent="0.25">
      <c r="A13" s="31" t="s">
        <v>33</v>
      </c>
      <c r="B13" s="30" t="s">
        <v>85</v>
      </c>
      <c r="C13" s="30">
        <v>8</v>
      </c>
      <c r="D13" s="29">
        <v>8</v>
      </c>
      <c r="E13" s="51"/>
    </row>
    <row r="14" spans="1:8" x14ac:dyDescent="0.25">
      <c r="A14" s="31" t="s">
        <v>34</v>
      </c>
      <c r="B14" s="30" t="s">
        <v>84</v>
      </c>
      <c r="C14" s="30">
        <v>8</v>
      </c>
      <c r="D14" s="29">
        <v>8</v>
      </c>
    </row>
    <row r="15" spans="1:8" x14ac:dyDescent="0.25">
      <c r="A15" s="31" t="s">
        <v>57</v>
      </c>
      <c r="B15" s="30" t="s">
        <v>85</v>
      </c>
      <c r="C15" s="30">
        <v>7</v>
      </c>
      <c r="D15" s="29">
        <v>12</v>
      </c>
    </row>
    <row r="16" spans="1:8" x14ac:dyDescent="0.25">
      <c r="A16" s="31" t="s">
        <v>58</v>
      </c>
      <c r="B16" s="30" t="s">
        <v>84</v>
      </c>
      <c r="C16" s="30">
        <v>8</v>
      </c>
      <c r="D16" s="29">
        <v>12</v>
      </c>
    </row>
    <row r="17" spans="1:4" x14ac:dyDescent="0.25">
      <c r="A17" s="31" t="s">
        <v>59</v>
      </c>
      <c r="B17" s="30" t="s">
        <v>85</v>
      </c>
      <c r="C17" s="30">
        <v>7</v>
      </c>
      <c r="D17" s="29">
        <v>10</v>
      </c>
    </row>
    <row r="18" spans="1:4" x14ac:dyDescent="0.25">
      <c r="A18" s="31" t="s">
        <v>60</v>
      </c>
      <c r="B18" s="30" t="s">
        <v>85</v>
      </c>
      <c r="C18" s="30">
        <v>8</v>
      </c>
      <c r="D18" s="29">
        <v>10</v>
      </c>
    </row>
    <row r="19" spans="1:4" x14ac:dyDescent="0.25">
      <c r="A19" s="31" t="s">
        <v>61</v>
      </c>
      <c r="B19" s="30" t="s">
        <v>84</v>
      </c>
      <c r="C19" s="30">
        <v>4</v>
      </c>
      <c r="D19" s="29">
        <v>10</v>
      </c>
    </row>
    <row r="20" spans="1:4" x14ac:dyDescent="0.25">
      <c r="A20" s="31" t="s">
        <v>62</v>
      </c>
      <c r="B20" s="30" t="s">
        <v>84</v>
      </c>
      <c r="C20" s="30">
        <v>7</v>
      </c>
      <c r="D20" s="29">
        <v>10</v>
      </c>
    </row>
    <row r="21" spans="1:4" x14ac:dyDescent="0.25">
      <c r="A21" s="31" t="s">
        <v>63</v>
      </c>
      <c r="B21" s="30" t="s">
        <v>84</v>
      </c>
      <c r="C21" s="30">
        <v>1</v>
      </c>
      <c r="D21" s="29">
        <v>12</v>
      </c>
    </row>
    <row r="22" spans="1:4" x14ac:dyDescent="0.25">
      <c r="A22" s="31" t="s">
        <v>64</v>
      </c>
      <c r="B22" s="30" t="s">
        <v>85</v>
      </c>
      <c r="C22" s="30">
        <v>3</v>
      </c>
      <c r="D22" s="29">
        <v>12</v>
      </c>
    </row>
    <row r="23" spans="1:4" x14ac:dyDescent="0.25">
      <c r="A23" s="31" t="s">
        <v>65</v>
      </c>
      <c r="B23" s="30" t="s">
        <v>85</v>
      </c>
      <c r="C23" s="30">
        <v>1</v>
      </c>
      <c r="D23" s="29">
        <v>12</v>
      </c>
    </row>
    <row r="24" spans="1:4" x14ac:dyDescent="0.25">
      <c r="A24" s="31" t="s">
        <v>66</v>
      </c>
      <c r="B24" s="30" t="s">
        <v>85</v>
      </c>
      <c r="C24" s="30">
        <v>4</v>
      </c>
      <c r="D24" s="29">
        <v>13</v>
      </c>
    </row>
    <row r="25" spans="1:4" x14ac:dyDescent="0.25">
      <c r="A25" s="31" t="s">
        <v>67</v>
      </c>
      <c r="B25" s="30" t="s">
        <v>84</v>
      </c>
      <c r="C25" s="30">
        <v>10</v>
      </c>
      <c r="D25" s="29">
        <v>9</v>
      </c>
    </row>
    <row r="26" spans="1:4" x14ac:dyDescent="0.25">
      <c r="A26" s="31" t="s">
        <v>68</v>
      </c>
      <c r="B26" s="30" t="s">
        <v>84</v>
      </c>
      <c r="C26" s="30">
        <v>1</v>
      </c>
      <c r="D26" s="29">
        <v>11</v>
      </c>
    </row>
    <row r="27" spans="1:4" x14ac:dyDescent="0.25">
      <c r="A27" s="31" t="s">
        <v>69</v>
      </c>
      <c r="B27" s="30" t="s">
        <v>85</v>
      </c>
      <c r="C27" s="30">
        <v>8</v>
      </c>
      <c r="D27" s="29">
        <v>11</v>
      </c>
    </row>
    <row r="28" spans="1:4" x14ac:dyDescent="0.25">
      <c r="A28" s="31" t="s">
        <v>70</v>
      </c>
      <c r="B28" s="30" t="s">
        <v>85</v>
      </c>
      <c r="C28" s="30">
        <v>10</v>
      </c>
      <c r="D28" s="29">
        <v>13</v>
      </c>
    </row>
    <row r="29" spans="1:4" x14ac:dyDescent="0.25">
      <c r="A29" s="31" t="s">
        <v>71</v>
      </c>
      <c r="B29" s="30" t="s">
        <v>85</v>
      </c>
      <c r="C29" s="30">
        <v>8</v>
      </c>
      <c r="D29" s="29">
        <v>10</v>
      </c>
    </row>
    <row r="30" spans="1:4" x14ac:dyDescent="0.25">
      <c r="A30" s="31" t="s">
        <v>72</v>
      </c>
      <c r="B30" s="30" t="s">
        <v>84</v>
      </c>
      <c r="C30" s="30">
        <v>6</v>
      </c>
      <c r="D30" s="29">
        <v>8</v>
      </c>
    </row>
    <row r="31" spans="1:4" x14ac:dyDescent="0.25">
      <c r="A31" s="31" t="s">
        <v>73</v>
      </c>
      <c r="B31" s="30" t="s">
        <v>84</v>
      </c>
      <c r="C31" s="30">
        <v>7</v>
      </c>
      <c r="D31" s="29">
        <v>9</v>
      </c>
    </row>
    <row r="32" spans="1:4" x14ac:dyDescent="0.25">
      <c r="A32" s="31" t="s">
        <v>74</v>
      </c>
      <c r="B32" s="30" t="s">
        <v>85</v>
      </c>
      <c r="C32" s="30">
        <v>4</v>
      </c>
      <c r="D32" s="29">
        <v>11</v>
      </c>
    </row>
    <row r="33" spans="1:4" x14ac:dyDescent="0.25">
      <c r="A33" s="31" t="s">
        <v>75</v>
      </c>
      <c r="B33" s="30" t="s">
        <v>85</v>
      </c>
      <c r="C33" s="30">
        <v>4</v>
      </c>
      <c r="D33" s="29">
        <v>13</v>
      </c>
    </row>
    <row r="34" spans="1:4" x14ac:dyDescent="0.25">
      <c r="A34" s="31" t="s">
        <v>76</v>
      </c>
      <c r="B34" s="30" t="s">
        <v>85</v>
      </c>
      <c r="C34" s="30">
        <v>10</v>
      </c>
      <c r="D34" s="29">
        <v>11</v>
      </c>
    </row>
    <row r="35" spans="1:4" x14ac:dyDescent="0.25">
      <c r="A35" s="31" t="s">
        <v>77</v>
      </c>
      <c r="B35" s="30" t="s">
        <v>85</v>
      </c>
      <c r="C35" s="30">
        <v>3</v>
      </c>
      <c r="D35" s="29">
        <v>10</v>
      </c>
    </row>
    <row r="36" spans="1:4" x14ac:dyDescent="0.25">
      <c r="A36" s="31" t="s">
        <v>78</v>
      </c>
      <c r="B36" s="30" t="s">
        <v>85</v>
      </c>
      <c r="C36" s="30">
        <v>1</v>
      </c>
      <c r="D36" s="29">
        <v>10</v>
      </c>
    </row>
    <row r="37" spans="1:4" x14ac:dyDescent="0.25">
      <c r="A37" s="31" t="s">
        <v>79</v>
      </c>
      <c r="B37" s="30" t="s">
        <v>84</v>
      </c>
      <c r="C37" s="30">
        <v>3</v>
      </c>
      <c r="D37" s="29">
        <v>12</v>
      </c>
    </row>
    <row r="38" spans="1:4" x14ac:dyDescent="0.25">
      <c r="A38" s="31" t="s">
        <v>80</v>
      </c>
      <c r="B38" s="30" t="s">
        <v>85</v>
      </c>
      <c r="C38" s="30">
        <v>4</v>
      </c>
      <c r="D38" s="29">
        <v>8</v>
      </c>
    </row>
  </sheetData>
  <printOptions horizontalCentered="1"/>
  <pageMargins left="0.7" right="0.7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13"/>
  <sheetViews>
    <sheetView zoomScaleNormal="100" workbookViewId="0">
      <selection activeCell="C7" sqref="C7"/>
    </sheetView>
  </sheetViews>
  <sheetFormatPr defaultRowHeight="15" x14ac:dyDescent="0.25"/>
  <cols>
    <col min="1" max="1" width="35.85546875" customWidth="1"/>
    <col min="2" max="2" width="16.7109375" customWidth="1"/>
    <col min="3" max="3" width="13.28515625" customWidth="1"/>
  </cols>
  <sheetData>
    <row r="1" spans="1:8" ht="26.25" x14ac:dyDescent="0.4">
      <c r="A1" s="54" t="s">
        <v>95</v>
      </c>
      <c r="B1" s="10"/>
      <c r="C1" s="10"/>
    </row>
    <row r="2" spans="1:8" ht="27" thickBot="1" x14ac:dyDescent="0.45">
      <c r="A2" s="55" t="s">
        <v>96</v>
      </c>
      <c r="B2" s="46"/>
      <c r="C2" s="46"/>
      <c r="D2" s="51"/>
      <c r="E2" s="51"/>
      <c r="F2" s="51"/>
      <c r="G2" s="51"/>
      <c r="H2" s="51"/>
    </row>
    <row r="3" spans="1:8" ht="18.75" x14ac:dyDescent="0.3">
      <c r="A3" s="40"/>
      <c r="B3" s="60" t="s">
        <v>97</v>
      </c>
      <c r="C3" s="41" t="s">
        <v>98</v>
      </c>
      <c r="E3" s="51"/>
      <c r="F3" s="51"/>
      <c r="G3" s="51"/>
    </row>
    <row r="4" spans="1:8" ht="18.75" x14ac:dyDescent="0.3">
      <c r="A4" s="33" t="s">
        <v>99</v>
      </c>
      <c r="B4" s="61">
        <v>4800</v>
      </c>
      <c r="C4" s="34">
        <v>8500</v>
      </c>
    </row>
    <row r="5" spans="1:8" ht="18.75" x14ac:dyDescent="0.3">
      <c r="A5" s="35" t="s">
        <v>100</v>
      </c>
      <c r="B5" s="62">
        <v>2</v>
      </c>
      <c r="C5" s="36">
        <v>4</v>
      </c>
    </row>
    <row r="6" spans="1:8" ht="18.75" x14ac:dyDescent="0.3">
      <c r="A6" s="35" t="s">
        <v>101</v>
      </c>
      <c r="B6" s="63">
        <v>4.4999999999999998E-2</v>
      </c>
      <c r="C6" s="37">
        <v>5.2499999999999998E-2</v>
      </c>
    </row>
    <row r="7" spans="1:8" ht="19.5" thickBot="1" x14ac:dyDescent="0.35">
      <c r="A7" s="38" t="s">
        <v>102</v>
      </c>
      <c r="B7" s="64">
        <f>PMT(B6/12,B5*12,B4,,1)</f>
        <v>-208.72677006226701</v>
      </c>
      <c r="C7" s="64">
        <f>PMT(C6/12,C5*12,C4,,1)</f>
        <v>-195.85618756307795</v>
      </c>
    </row>
    <row r="8" spans="1:8" ht="15.75" thickTop="1" x14ac:dyDescent="0.25"/>
    <row r="12" spans="1:8" x14ac:dyDescent="0.25">
      <c r="E12" s="51"/>
    </row>
    <row r="13" spans="1:8" x14ac:dyDescent="0.25">
      <c r="E13" s="51"/>
    </row>
  </sheetData>
  <printOptions horizontalCentered="1"/>
  <pageMargins left="0.7" right="0.7" top="0.75" bottom="0.75" header="0.3" footer="0.3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7671B1-D4EB-4FA1-B0C9-E9347DE45B36}">
  <ds:schemaRefs>
    <ds:schemaRef ds:uri="http://schemas.microsoft.com/office/2006/documentManagement/types"/>
    <ds:schemaRef ds:uri="http://schemas.microsoft.com/office/infopath/2007/PartnerControls"/>
    <ds:schemaRef ds:uri="b04d9b0c-6c19-4431-8ba9-314b6f6aa4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027147-68FD-47FA-AFC6-E93C97050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E28750-750D-442F-82D0-7F0B499C79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Cass Lake</vt:lpstr>
      <vt:lpstr>Merchandise</vt:lpstr>
      <vt:lpstr>Rates&amp;Tables</vt:lpstr>
      <vt:lpstr>PLR Camp</vt:lpstr>
      <vt:lpstr>Canoes</vt:lpstr>
      <vt:lpstr>Monthly_Rev</vt:lpstr>
      <vt:lpstr>TotalRevenue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2014-08-18T21:59:08Z</dcterms:created>
  <dcterms:modified xsi:type="dcterms:W3CDTF">2022-08-29T19:48:03Z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