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927"/>
  <workbookPr defaultThemeVersion="124226"/>
  <mc:AlternateContent xmlns:mc="http://schemas.openxmlformats.org/markup-compatibility/2006">
    <mc:Choice Requires="x15">
      <x15ac:absPath xmlns:x15ac="http://schemas.microsoft.com/office/spreadsheetml/2010/11/ac" url="F:\Thomas Rodriguez\A-11 ADMINISTRATION\"/>
    </mc:Choice>
  </mc:AlternateContent>
  <bookViews>
    <workbookView xWindow="0" yWindow="0" windowWidth="10845" windowHeight="9315" activeTab="2"/>
  </bookViews>
  <sheets>
    <sheet name="Pramètres" sheetId="1" r:id="rId1"/>
    <sheet name="Planification" sheetId="2" r:id="rId2"/>
    <sheet name="Présentation" sheetId="3" r:id="rId3"/>
  </sheets>
  <definedNames>
    <definedName name="Code">Pramètres!$C$5:$C$43</definedName>
    <definedName name="Cours">Planification!$C$7:$C$15</definedName>
    <definedName name="DuréeUnePériode">Pramètres!$K$40</definedName>
    <definedName name="DurééUnePériode">Pramètres!$K$40</definedName>
    <definedName name="HeureDébut">Pramètres!$J$25:$J$35</definedName>
    <definedName name="HeureFin">Pramètres!$K$25:$K$35</definedName>
    <definedName name="HeureInsérée">Planification!$H$7:$H$15</definedName>
    <definedName name="JoursPlanification">Planification!$G$7:$G$15</definedName>
    <definedName name="JoursSemaine">Pramètres!$J$5:$J$11</definedName>
    <definedName name="ListeLocaux">Pramètres!$I$15:$I$21</definedName>
    <definedName name="NbJoursSemaine">Pramètres!$I$5:$I$11</definedName>
    <definedName name="Nom">Pramètres!$D$5:$D$43</definedName>
    <definedName name="Période">Pramètres!$F$5:$F$43</definedName>
  </definedNames>
  <calcPr calcId="171027"/>
</workbook>
</file>

<file path=xl/calcChain.xml><?xml version="1.0" encoding="utf-8"?>
<calcChain xmlns="http://schemas.openxmlformats.org/spreadsheetml/2006/main">
  <c r="O162" i="3" l="1"/>
  <c r="P162" i="3"/>
  <c r="Q162" i="3"/>
  <c r="R162" i="3"/>
  <c r="S162" i="3"/>
  <c r="T162" i="3"/>
  <c r="N162" i="3"/>
  <c r="N152" i="3"/>
  <c r="O152" i="3"/>
  <c r="P152" i="3"/>
  <c r="Q152" i="3"/>
  <c r="R152" i="3"/>
  <c r="S152" i="3"/>
  <c r="T152" i="3"/>
  <c r="N153" i="3"/>
  <c r="O153" i="3"/>
  <c r="P153" i="3"/>
  <c r="Q153" i="3"/>
  <c r="R153" i="3"/>
  <c r="S153" i="3"/>
  <c r="T153" i="3"/>
  <c r="N154" i="3"/>
  <c r="O154" i="3"/>
  <c r="P154" i="3"/>
  <c r="Q154" i="3"/>
  <c r="R154" i="3"/>
  <c r="S154" i="3"/>
  <c r="T154" i="3"/>
  <c r="N155" i="3"/>
  <c r="O155" i="3"/>
  <c r="P155" i="3"/>
  <c r="Q155" i="3"/>
  <c r="R155" i="3"/>
  <c r="S155" i="3"/>
  <c r="T155" i="3"/>
  <c r="N156" i="3"/>
  <c r="O156" i="3"/>
  <c r="P156" i="3"/>
  <c r="Q156" i="3"/>
  <c r="R156" i="3"/>
  <c r="S156" i="3"/>
  <c r="T156" i="3"/>
  <c r="N157" i="3"/>
  <c r="O157" i="3"/>
  <c r="P157" i="3"/>
  <c r="Q157" i="3"/>
  <c r="R157" i="3"/>
  <c r="S157" i="3"/>
  <c r="T157" i="3"/>
  <c r="N158" i="3"/>
  <c r="O158" i="3"/>
  <c r="P158" i="3"/>
  <c r="Q158" i="3"/>
  <c r="R158" i="3"/>
  <c r="S158" i="3"/>
  <c r="T158" i="3"/>
  <c r="N159" i="3"/>
  <c r="O159" i="3"/>
  <c r="P159" i="3"/>
  <c r="Q159" i="3"/>
  <c r="R159" i="3"/>
  <c r="S159" i="3"/>
  <c r="T159" i="3"/>
  <c r="N160" i="3"/>
  <c r="O160" i="3"/>
  <c r="P160" i="3"/>
  <c r="Q160" i="3"/>
  <c r="R160" i="3"/>
  <c r="S160" i="3"/>
  <c r="T160" i="3"/>
  <c r="N161" i="3"/>
  <c r="O161" i="3"/>
  <c r="P161" i="3"/>
  <c r="Q161" i="3"/>
  <c r="R161" i="3"/>
  <c r="S161" i="3"/>
  <c r="T161" i="3"/>
  <c r="T151" i="3"/>
  <c r="O151" i="3"/>
  <c r="P151" i="3"/>
  <c r="Q151" i="3"/>
  <c r="R151" i="3"/>
  <c r="S151" i="3"/>
  <c r="N151" i="3"/>
  <c r="U49" i="2"/>
  <c r="T40" i="2"/>
  <c r="U40" i="2" s="1"/>
  <c r="T41" i="2"/>
  <c r="U41" i="2" s="1"/>
  <c r="V41" i="2" s="1"/>
  <c r="T42" i="2"/>
  <c r="U42" i="2" s="1"/>
  <c r="T43" i="2"/>
  <c r="U43" i="2" s="1"/>
  <c r="T44" i="2"/>
  <c r="U44" i="2" s="1"/>
  <c r="T45" i="2"/>
  <c r="U45" i="2" s="1"/>
  <c r="V45" i="2" s="1"/>
  <c r="T46" i="2"/>
  <c r="U46" i="2" s="1"/>
  <c r="V46" i="2" s="1"/>
  <c r="T47" i="2"/>
  <c r="U47" i="2" s="1"/>
  <c r="V47" i="2" s="1"/>
  <c r="T39" i="2"/>
  <c r="U39" i="2" s="1"/>
  <c r="V39" i="2" s="1"/>
  <c r="AB6" i="2"/>
  <c r="AA7" i="2"/>
  <c r="Z8" i="2"/>
  <c r="Y9" i="2"/>
  <c r="X10" i="2"/>
  <c r="W11" i="2"/>
  <c r="V12" i="2"/>
  <c r="U13" i="2"/>
  <c r="AB7" i="2"/>
  <c r="AA8" i="2"/>
  <c r="Z9" i="2"/>
  <c r="Y10" i="2"/>
  <c r="X11" i="2"/>
  <c r="AB8" i="2"/>
  <c r="AA9" i="2"/>
  <c r="AB9" i="2"/>
  <c r="Z10" i="2"/>
  <c r="AA10" i="2"/>
  <c r="AB10" i="2"/>
  <c r="Y11" i="2"/>
  <c r="Z11" i="2"/>
  <c r="AA11" i="2"/>
  <c r="AB11" i="2"/>
  <c r="W12" i="2"/>
  <c r="X12" i="2"/>
  <c r="Y12" i="2"/>
  <c r="Z12" i="2"/>
  <c r="AA12" i="2"/>
  <c r="AB12" i="2"/>
  <c r="V13" i="2"/>
  <c r="W13" i="2"/>
  <c r="X13" i="2"/>
  <c r="Y13" i="2"/>
  <c r="Z13" i="2"/>
  <c r="AA13" i="2"/>
  <c r="AB13" i="2"/>
  <c r="U14" i="2"/>
  <c r="V14" i="2"/>
  <c r="W14" i="2"/>
  <c r="X14" i="2"/>
  <c r="Y14" i="2"/>
  <c r="Z14" i="2"/>
  <c r="AA14" i="2"/>
  <c r="AB14" i="2"/>
  <c r="U15" i="2"/>
  <c r="V15" i="2"/>
  <c r="W15" i="2"/>
  <c r="X15" i="2"/>
  <c r="Y15" i="2"/>
  <c r="Z15" i="2"/>
  <c r="AA15" i="2"/>
  <c r="U16" i="2"/>
  <c r="V16" i="2"/>
  <c r="W16" i="2"/>
  <c r="X16" i="2"/>
  <c r="Y16" i="2"/>
  <c r="Z16" i="2"/>
  <c r="U17" i="2"/>
  <c r="V17" i="2"/>
  <c r="W17" i="2"/>
  <c r="X17" i="2"/>
  <c r="Y17" i="2"/>
  <c r="U18" i="2"/>
  <c r="V18" i="2"/>
  <c r="W18" i="2"/>
  <c r="X18" i="2"/>
  <c r="U20" i="2"/>
  <c r="V20" i="2"/>
  <c r="W20" i="2"/>
  <c r="U21" i="2"/>
  <c r="V21" i="2"/>
  <c r="U22" i="2"/>
  <c r="V44" i="2" l="1"/>
  <c r="V43" i="2"/>
  <c r="V42" i="2"/>
  <c r="V40" i="2"/>
  <c r="T22" i="2"/>
  <c r="T21" i="2"/>
  <c r="T18" i="2"/>
  <c r="T14" i="2"/>
  <c r="T15" i="2"/>
  <c r="T23" i="2"/>
  <c r="T20" i="2"/>
  <c r="T16" i="2"/>
  <c r="T17" i="2"/>
  <c r="D7" i="2"/>
  <c r="E8" i="2"/>
  <c r="O8" i="2" s="1"/>
  <c r="T28" i="2" s="1"/>
  <c r="E9" i="2"/>
  <c r="O9" i="2" s="1"/>
  <c r="T29" i="2" s="1"/>
  <c r="E10" i="2"/>
  <c r="O10" i="2" s="1"/>
  <c r="T30" i="2" s="1"/>
  <c r="E11" i="2"/>
  <c r="O11" i="2" s="1"/>
  <c r="T31" i="2" s="1"/>
  <c r="E13" i="2"/>
  <c r="O13" i="2" s="1"/>
  <c r="T33" i="2" s="1"/>
  <c r="E14" i="2"/>
  <c r="O14" i="2" s="1"/>
  <c r="T34" i="2" s="1"/>
  <c r="E15" i="2"/>
  <c r="O15" i="2" s="1"/>
  <c r="T35" i="2" s="1"/>
  <c r="B32" i="3"/>
  <c r="B33" i="3"/>
  <c r="B34" i="3"/>
  <c r="B35" i="3"/>
  <c r="B36" i="3"/>
  <c r="B37" i="3"/>
  <c r="B38" i="3"/>
  <c r="B39" i="3"/>
  <c r="B31" i="3"/>
  <c r="B21" i="3"/>
  <c r="B22" i="3"/>
  <c r="B23" i="3"/>
  <c r="B24" i="3"/>
  <c r="B25" i="3"/>
  <c r="B26" i="3"/>
  <c r="B27" i="3"/>
  <c r="B28" i="3"/>
  <c r="B20" i="3"/>
  <c r="L21" i="3"/>
  <c r="L22" i="3"/>
  <c r="L23" i="3"/>
  <c r="L24" i="3"/>
  <c r="L25" i="3"/>
  <c r="L26" i="3"/>
  <c r="L27" i="3"/>
  <c r="L28" i="3"/>
  <c r="L20" i="3"/>
  <c r="K21" i="3"/>
  <c r="K22" i="3"/>
  <c r="K23" i="3"/>
  <c r="K24" i="3"/>
  <c r="K25" i="3"/>
  <c r="K26" i="3"/>
  <c r="K27" i="3"/>
  <c r="K28" i="3"/>
  <c r="J21" i="3"/>
  <c r="J22" i="3"/>
  <c r="J23" i="3"/>
  <c r="J24" i="3"/>
  <c r="J25" i="3"/>
  <c r="J26" i="3"/>
  <c r="J27" i="3"/>
  <c r="J28" i="3"/>
  <c r="I21" i="3"/>
  <c r="I22" i="3"/>
  <c r="I23" i="3"/>
  <c r="I24" i="3"/>
  <c r="I25" i="3"/>
  <c r="I26" i="3"/>
  <c r="I27" i="3"/>
  <c r="I28" i="3"/>
  <c r="H21" i="3"/>
  <c r="H22" i="3"/>
  <c r="H23" i="3"/>
  <c r="H24" i="3"/>
  <c r="H25" i="3"/>
  <c r="H26" i="3"/>
  <c r="H27" i="3"/>
  <c r="H28" i="3"/>
  <c r="G21" i="3"/>
  <c r="G22" i="3"/>
  <c r="G23" i="3"/>
  <c r="G24" i="3"/>
  <c r="G25" i="3"/>
  <c r="G27" i="3"/>
  <c r="G28" i="3"/>
  <c r="F21" i="3"/>
  <c r="F22" i="3"/>
  <c r="F24" i="3"/>
  <c r="F25" i="3"/>
  <c r="F27" i="3"/>
  <c r="E22" i="3"/>
  <c r="K20" i="3"/>
  <c r="J20" i="3"/>
  <c r="I20" i="3"/>
  <c r="H20" i="3"/>
  <c r="S27" i="2" l="1"/>
  <c r="S39" i="2"/>
  <c r="S14" i="2"/>
  <c r="C7" i="3"/>
  <c r="D7" i="3"/>
  <c r="E7" i="3"/>
  <c r="F7" i="3"/>
  <c r="G7" i="3"/>
  <c r="H7" i="3"/>
  <c r="I7" i="3"/>
  <c r="C8" i="3"/>
  <c r="D8" i="3"/>
  <c r="E8" i="3"/>
  <c r="F8" i="3"/>
  <c r="G8" i="3"/>
  <c r="H8" i="3"/>
  <c r="I8" i="3"/>
  <c r="C9" i="3"/>
  <c r="D9" i="3"/>
  <c r="E9" i="3"/>
  <c r="F9" i="3"/>
  <c r="G9" i="3"/>
  <c r="H9" i="3"/>
  <c r="I9" i="3"/>
  <c r="C10" i="3"/>
  <c r="D10" i="3"/>
  <c r="E10" i="3"/>
  <c r="F10" i="3"/>
  <c r="G10" i="3"/>
  <c r="H10" i="3"/>
  <c r="I10" i="3"/>
  <c r="C11" i="3"/>
  <c r="D11" i="3"/>
  <c r="E11" i="3"/>
  <c r="F11" i="3"/>
  <c r="G11" i="3"/>
  <c r="H11" i="3"/>
  <c r="I11" i="3"/>
  <c r="C12" i="3"/>
  <c r="D12" i="3"/>
  <c r="E12" i="3"/>
  <c r="F12" i="3"/>
  <c r="G12" i="3"/>
  <c r="H12" i="3"/>
  <c r="I12" i="3"/>
  <c r="C13" i="3"/>
  <c r="D13" i="3"/>
  <c r="E13" i="3"/>
  <c r="F13" i="3"/>
  <c r="G13" i="3"/>
  <c r="H13" i="3"/>
  <c r="I13" i="3"/>
  <c r="C14" i="3"/>
  <c r="D14" i="3"/>
  <c r="E14" i="3"/>
  <c r="F14" i="3"/>
  <c r="G14" i="3"/>
  <c r="H14" i="3"/>
  <c r="I14" i="3"/>
  <c r="C15" i="3"/>
  <c r="D15" i="3"/>
  <c r="E15" i="3"/>
  <c r="F15" i="3"/>
  <c r="G15" i="3"/>
  <c r="H15" i="3"/>
  <c r="I15" i="3"/>
  <c r="C16" i="3"/>
  <c r="D16" i="3"/>
  <c r="E16" i="3"/>
  <c r="F16" i="3"/>
  <c r="G16" i="3"/>
  <c r="H16" i="3"/>
  <c r="I16" i="3"/>
  <c r="D6" i="3"/>
  <c r="E6" i="3"/>
  <c r="F6" i="3"/>
  <c r="G6" i="3"/>
  <c r="H6" i="3"/>
  <c r="I6" i="3"/>
  <c r="C6" i="3"/>
  <c r="J8" i="2"/>
  <c r="J9" i="2"/>
  <c r="J10" i="2"/>
  <c r="J11" i="2"/>
  <c r="J12" i="2"/>
  <c r="J13" i="2"/>
  <c r="J14" i="2"/>
  <c r="J15" i="2"/>
  <c r="J7" i="2"/>
  <c r="J25" i="1"/>
  <c r="D8" i="2"/>
  <c r="D9" i="2"/>
  <c r="D10" i="2"/>
  <c r="D11" i="2"/>
  <c r="D13" i="2"/>
  <c r="D14" i="2"/>
  <c r="D28" i="3" l="1"/>
  <c r="B59" i="3"/>
  <c r="E25" i="3"/>
  <c r="S29" i="2"/>
  <c r="S41" i="2"/>
  <c r="S16" i="2"/>
  <c r="S34" i="2"/>
  <c r="S22" i="2"/>
  <c r="S46" i="2"/>
  <c r="S31" i="2"/>
  <c r="S43" i="2"/>
  <c r="S18" i="2"/>
  <c r="S33" i="2"/>
  <c r="S45" i="2"/>
  <c r="S21" i="2"/>
  <c r="S30" i="2"/>
  <c r="S42" i="2"/>
  <c r="S17" i="2"/>
  <c r="S28" i="2"/>
  <c r="S40" i="2"/>
  <c r="S15" i="2"/>
  <c r="C23" i="3"/>
  <c r="C34" i="3" s="1"/>
  <c r="C21" i="3"/>
  <c r="C32" i="3" s="1"/>
  <c r="C22" i="3"/>
  <c r="C33" i="3" s="1"/>
  <c r="C27" i="3"/>
  <c r="C38" i="3" s="1"/>
  <c r="C26" i="3"/>
  <c r="C37" i="3" s="1"/>
  <c r="C24" i="3"/>
  <c r="C35" i="3" s="1"/>
  <c r="L38" i="3"/>
  <c r="K38" i="3"/>
  <c r="J38" i="3"/>
  <c r="I38" i="3"/>
  <c r="H38" i="3"/>
  <c r="L37" i="3"/>
  <c r="K37" i="3"/>
  <c r="J37" i="3"/>
  <c r="I37" i="3"/>
  <c r="H37" i="3"/>
  <c r="G37" i="3"/>
  <c r="I35" i="3"/>
  <c r="G35" i="3"/>
  <c r="J35" i="3"/>
  <c r="H35" i="3"/>
  <c r="K35" i="3"/>
  <c r="L35" i="3"/>
  <c r="E20" i="3"/>
  <c r="G20" i="3"/>
  <c r="F20" i="3"/>
  <c r="J26" i="1"/>
  <c r="B60" i="3" s="1"/>
  <c r="E7" i="2" l="1"/>
  <c r="D15" i="2"/>
  <c r="J27" i="1"/>
  <c r="D32" i="3" s="1"/>
  <c r="E32" i="3" s="1"/>
  <c r="F32" i="3" s="1"/>
  <c r="G32" i="3" s="1"/>
  <c r="H32" i="3" s="1"/>
  <c r="I32" i="3" s="1"/>
  <c r="J32" i="3" s="1"/>
  <c r="K32" i="3" s="1"/>
  <c r="L32" i="3" s="1"/>
  <c r="K25" i="1"/>
  <c r="K26" i="1"/>
  <c r="K27" i="1" l="1"/>
  <c r="B61" i="3"/>
  <c r="O7" i="2"/>
  <c r="I31" i="3" s="1"/>
  <c r="S35" i="2"/>
  <c r="S23" i="2"/>
  <c r="S47" i="2"/>
  <c r="C28" i="3"/>
  <c r="C39" i="3" s="1"/>
  <c r="L39" i="3"/>
  <c r="K39" i="3"/>
  <c r="J39" i="3"/>
  <c r="I39" i="3"/>
  <c r="H39" i="3"/>
  <c r="G39" i="3"/>
  <c r="F39" i="3"/>
  <c r="C20" i="3"/>
  <c r="J28" i="1"/>
  <c r="L31" i="3" l="1"/>
  <c r="D31" i="3"/>
  <c r="E31" i="3" s="1"/>
  <c r="F31" i="3" s="1"/>
  <c r="J31" i="3"/>
  <c r="B62" i="3"/>
  <c r="K31" i="3"/>
  <c r="G31" i="3"/>
  <c r="T27" i="2"/>
  <c r="H31" i="3"/>
  <c r="C31" i="3"/>
  <c r="J29" i="1"/>
  <c r="D39" i="3" s="1"/>
  <c r="E39" i="3" s="1"/>
  <c r="K28" i="1"/>
  <c r="P9" i="2" s="1"/>
  <c r="D34" i="3" l="1"/>
  <c r="E34" i="3" s="1"/>
  <c r="F34" i="3" s="1"/>
  <c r="G34" i="3" s="1"/>
  <c r="H34" i="3" s="1"/>
  <c r="I34" i="3" s="1"/>
  <c r="J34" i="3" s="1"/>
  <c r="K34" i="3" s="1"/>
  <c r="L34" i="3" s="1"/>
  <c r="F23" i="3"/>
  <c r="B63" i="3"/>
  <c r="E24" i="3"/>
  <c r="D24" i="3"/>
  <c r="J30" i="1"/>
  <c r="K29" i="1"/>
  <c r="B64" i="3" l="1"/>
  <c r="P11" i="2"/>
  <c r="J31" i="1"/>
  <c r="K30" i="1"/>
  <c r="B65" i="3" l="1"/>
  <c r="D23" i="3"/>
  <c r="E23" i="3"/>
  <c r="J32" i="1"/>
  <c r="B66" i="3" s="1"/>
  <c r="K31" i="1"/>
  <c r="P10" i="2" s="1"/>
  <c r="D37" i="3" l="1"/>
  <c r="E37" i="3" s="1"/>
  <c r="F37" i="3" s="1"/>
  <c r="J33" i="1"/>
  <c r="K32" i="1"/>
  <c r="P12" i="2" s="1"/>
  <c r="B67" i="3" l="1"/>
  <c r="E21" i="3"/>
  <c r="D21" i="3"/>
  <c r="J34" i="1"/>
  <c r="B68" i="3" s="1"/>
  <c r="K33" i="1"/>
  <c r="J35" i="1" l="1"/>
  <c r="K34" i="1"/>
  <c r="P15" i="2"/>
  <c r="B69" i="3" l="1"/>
  <c r="G26" i="3"/>
  <c r="D27" i="3"/>
  <c r="D20" i="3"/>
  <c r="D38" i="3"/>
  <c r="E38" i="3" s="1"/>
  <c r="F38" i="3" s="1"/>
  <c r="G38" i="3" s="1"/>
  <c r="P8" i="2"/>
  <c r="D35" i="3"/>
  <c r="E35" i="3" s="1"/>
  <c r="F35" i="3" s="1"/>
  <c r="D22" i="3"/>
  <c r="E26" i="3"/>
  <c r="D25" i="3"/>
  <c r="F26" i="3"/>
  <c r="F28" i="3"/>
  <c r="E27" i="3"/>
  <c r="E28" i="3"/>
  <c r="D26" i="3"/>
  <c r="K35" i="1"/>
  <c r="P13" i="2" s="1"/>
  <c r="P14" i="2"/>
  <c r="P7" i="2"/>
  <c r="E12" i="2" l="1"/>
  <c r="O12" i="2" s="1"/>
  <c r="D12" i="2"/>
  <c r="C45" i="3"/>
  <c r="D54" i="3"/>
  <c r="D69" i="3" s="1" a="1"/>
  <c r="D69" i="3" s="1"/>
  <c r="R15" i="3" s="1"/>
  <c r="C52" i="3"/>
  <c r="H48" i="3"/>
  <c r="H63" i="3" s="1" a="1"/>
  <c r="H63" i="3" s="1"/>
  <c r="V9" i="3" s="1"/>
  <c r="F45" i="3"/>
  <c r="F60" i="3" s="1" a="1"/>
  <c r="F60" i="3" s="1"/>
  <c r="T6" i="3" s="1"/>
  <c r="G54" i="3"/>
  <c r="E51" i="3"/>
  <c r="I46" i="3"/>
  <c r="I61" i="3" s="1" a="1"/>
  <c r="I61" i="3" s="1"/>
  <c r="W7" i="3" s="1"/>
  <c r="C46" i="3"/>
  <c r="C61" i="3" s="1" a="1"/>
  <c r="C61" i="3" s="1"/>
  <c r="Q7" i="3" s="1"/>
  <c r="H52" i="3"/>
  <c r="H67" i="3" s="1" a="1"/>
  <c r="H67" i="3" s="1"/>
  <c r="V13" i="3" s="1"/>
  <c r="F53" i="3"/>
  <c r="F68" i="3" s="1" a="1"/>
  <c r="F68" i="3" s="1"/>
  <c r="T14" i="3" s="1"/>
  <c r="D46" i="3"/>
  <c r="F44" i="3"/>
  <c r="F59" i="3" s="1" a="1"/>
  <c r="F59" i="3" s="1"/>
  <c r="T5" i="3" s="1"/>
  <c r="D53" i="3"/>
  <c r="D68" i="3" s="1" a="1"/>
  <c r="D68" i="3" s="1"/>
  <c r="R14" i="3" s="1"/>
  <c r="I49" i="3"/>
  <c r="G46" i="3"/>
  <c r="G61" i="3" s="1" a="1"/>
  <c r="G61" i="3" s="1"/>
  <c r="U7" i="3" s="1"/>
  <c r="I44" i="3"/>
  <c r="I59" i="3" s="1" a="1"/>
  <c r="I59" i="3" s="1"/>
  <c r="W5" i="3" s="1"/>
  <c r="F52" i="3"/>
  <c r="F67" i="3" s="1" a="1"/>
  <c r="F67" i="3" s="1"/>
  <c r="T13" i="3" s="1"/>
  <c r="C48" i="3"/>
  <c r="H51" i="3"/>
  <c r="I53" i="3"/>
  <c r="I68" i="3" s="1" a="1"/>
  <c r="I68" i="3" s="1"/>
  <c r="W14" i="3" s="1"/>
  <c r="H45" i="3"/>
  <c r="H60" i="3" s="1" a="1"/>
  <c r="H60" i="3" s="1"/>
  <c r="V6" i="3" s="1"/>
  <c r="E47" i="3"/>
  <c r="D45" i="3"/>
  <c r="E54" i="3"/>
  <c r="E69" i="3" s="1" a="1"/>
  <c r="E69" i="3" s="1"/>
  <c r="S15" i="3" s="1"/>
  <c r="C51" i="3"/>
  <c r="H47" i="3"/>
  <c r="H62" i="3" s="1" a="1"/>
  <c r="H62" i="3" s="1"/>
  <c r="V8" i="3" s="1"/>
  <c r="F49" i="3"/>
  <c r="F64" i="3" s="1" a="1"/>
  <c r="F64" i="3" s="1"/>
  <c r="T10" i="3" s="1"/>
  <c r="G53" i="3"/>
  <c r="D49" i="3"/>
  <c r="D64" i="3" s="1" a="1"/>
  <c r="D64" i="3" s="1"/>
  <c r="R10" i="3" s="1"/>
  <c r="I45" i="3"/>
  <c r="I60" i="3" s="1" a="1"/>
  <c r="I60" i="3" s="1"/>
  <c r="W6" i="3" s="1"/>
  <c r="D44" i="3"/>
  <c r="D50" i="3"/>
  <c r="F48" i="3"/>
  <c r="F63" i="3" s="1" a="1"/>
  <c r="F63" i="3" s="1"/>
  <c r="T9" i="3" s="1"/>
  <c r="E46" i="3"/>
  <c r="G44" i="3"/>
  <c r="D52" i="3"/>
  <c r="I48" i="3"/>
  <c r="G45" i="3"/>
  <c r="H54" i="3"/>
  <c r="H69" i="3" s="1" a="1"/>
  <c r="H69" i="3" s="1"/>
  <c r="V15" i="3" s="1"/>
  <c r="E50" i="3"/>
  <c r="C47" i="3"/>
  <c r="C62" i="3" s="1" a="1"/>
  <c r="C62" i="3" s="1"/>
  <c r="Q8" i="3" s="1"/>
  <c r="D47" i="3"/>
  <c r="D62" i="3" s="1" a="1"/>
  <c r="D62" i="3" s="1"/>
  <c r="R8" i="3" s="1"/>
  <c r="I54" i="3"/>
  <c r="I69" i="3" s="1" a="1"/>
  <c r="I69" i="3" s="1"/>
  <c r="W15" i="3" s="1"/>
  <c r="G49" i="3"/>
  <c r="F47" i="3"/>
  <c r="F62" i="3" s="1" a="1"/>
  <c r="F62" i="3" s="1"/>
  <c r="T8" i="3" s="1"/>
  <c r="C54" i="3"/>
  <c r="C69" i="3" s="1" a="1"/>
  <c r="C69" i="3" s="1"/>
  <c r="Q15" i="3" s="1"/>
  <c r="E53" i="3"/>
  <c r="E68" i="3" s="1" a="1"/>
  <c r="E68" i="3" s="1"/>
  <c r="S14" i="3" s="1"/>
  <c r="C50" i="3"/>
  <c r="H46" i="3"/>
  <c r="H61" i="3" s="1" a="1"/>
  <c r="H61" i="3" s="1"/>
  <c r="V7" i="3" s="1"/>
  <c r="C44" i="3"/>
  <c r="F51" i="3"/>
  <c r="D48" i="3"/>
  <c r="D63" i="3" s="1" a="1"/>
  <c r="D63" i="3" s="1"/>
  <c r="R9" i="3" s="1"/>
  <c r="I52" i="3"/>
  <c r="I67" i="3" s="1" a="1"/>
  <c r="I67" i="3" s="1"/>
  <c r="W13" i="3" s="1"/>
  <c r="G47" i="3"/>
  <c r="G62" i="3" s="1" a="1"/>
  <c r="G62" i="3" s="1"/>
  <c r="U8" i="3" s="1"/>
  <c r="H50" i="3"/>
  <c r="G48" i="3"/>
  <c r="E45" i="3"/>
  <c r="E60" i="3" s="1" a="1"/>
  <c r="E60" i="3" s="1"/>
  <c r="S6" i="3" s="1"/>
  <c r="F54" i="3"/>
  <c r="F69" i="3" s="1" a="1"/>
  <c r="F69" i="3" s="1"/>
  <c r="T15" i="3" s="1"/>
  <c r="D51" i="3"/>
  <c r="I47" i="3"/>
  <c r="I62" i="3" s="1" a="1"/>
  <c r="I62" i="3" s="1"/>
  <c r="W8" i="3" s="1"/>
  <c r="G50" i="3"/>
  <c r="G52" i="3"/>
  <c r="E49" i="3"/>
  <c r="E64" i="3" s="1" a="1"/>
  <c r="E64" i="3" s="1"/>
  <c r="S10" i="3" s="1"/>
  <c r="I50" i="3"/>
  <c r="I65" i="3" s="1" a="1"/>
  <c r="I65" i="3" s="1"/>
  <c r="W11" i="3" s="1"/>
  <c r="G51" i="3"/>
  <c r="I51" i="3"/>
  <c r="I66" i="3" s="1" a="1"/>
  <c r="I66" i="3" s="1"/>
  <c r="W12" i="3" s="1"/>
  <c r="H49" i="3"/>
  <c r="H64" i="3" s="1" a="1"/>
  <c r="H64" i="3" s="1"/>
  <c r="V10" i="3" s="1"/>
  <c r="F46" i="3"/>
  <c r="F61" i="3" s="1" a="1"/>
  <c r="F61" i="3" s="1"/>
  <c r="T7" i="3" s="1"/>
  <c r="H44" i="3"/>
  <c r="H59" i="3" s="1" a="1"/>
  <c r="H59" i="3" s="1"/>
  <c r="V5" i="3" s="1"/>
  <c r="E52" i="3"/>
  <c r="E67" i="3" s="1" a="1"/>
  <c r="E67" i="3" s="1"/>
  <c r="S13" i="3" s="1"/>
  <c r="C49" i="3"/>
  <c r="E44" i="3"/>
  <c r="E59" i="3" s="1" a="1"/>
  <c r="E59" i="3" s="1"/>
  <c r="S5" i="3" s="1"/>
  <c r="H53" i="3"/>
  <c r="H68" i="3" s="1" a="1"/>
  <c r="H68" i="3" s="1"/>
  <c r="V14" i="3" s="1"/>
  <c r="F50" i="3"/>
  <c r="C53" i="3"/>
  <c r="E48" i="3"/>
  <c r="S44" i="2" l="1"/>
  <c r="S20" i="2"/>
  <c r="C25" i="3"/>
  <c r="C36" i="3" s="1"/>
  <c r="S32" i="2"/>
  <c r="T32" i="2"/>
  <c r="D36" i="3"/>
  <c r="E36" i="3" s="1"/>
  <c r="F36" i="3" s="1"/>
  <c r="G36" i="3" s="1"/>
  <c r="H36" i="3" s="1"/>
  <c r="I36" i="3" s="1"/>
  <c r="J36" i="3" s="1"/>
  <c r="K36" i="3" s="1"/>
  <c r="L36" i="3" s="1"/>
  <c r="D33" i="3" l="1"/>
  <c r="E33" i="3" l="1"/>
  <c r="F33" i="3" s="1"/>
  <c r="G33" i="3" s="1"/>
  <c r="H33" i="3" s="1"/>
  <c r="I33" i="3" s="1"/>
  <c r="J33" i="3" s="1"/>
  <c r="K33" i="3" s="1"/>
  <c r="L33" i="3" s="1"/>
  <c r="G67" i="3" s="1" a="1"/>
  <c r="G67" i="3" s="1"/>
  <c r="U13" i="3" s="1"/>
  <c r="G65" i="3" a="1"/>
  <c r="G65" i="3" s="1"/>
  <c r="U11" i="3" s="1"/>
  <c r="E63" i="3" a="1"/>
  <c r="E63" i="3" s="1"/>
  <c r="S9" i="3" s="1"/>
  <c r="E61" i="3" l="1" a="1"/>
  <c r="E61" i="3" s="1"/>
  <c r="S7" i="3" s="1"/>
  <c r="E66" i="3" a="1"/>
  <c r="E66" i="3" s="1"/>
  <c r="S12" i="3" s="1"/>
  <c r="E65" i="3" a="1"/>
  <c r="E65" i="3" s="1"/>
  <c r="S11" i="3" s="1"/>
  <c r="C60" i="3" a="1"/>
  <c r="C60" i="3" s="1"/>
  <c r="Q6" i="3" s="1"/>
  <c r="I63" i="3" a="1"/>
  <c r="I63" i="3" s="1"/>
  <c r="W9" i="3" s="1"/>
  <c r="I64" i="3" a="1"/>
  <c r="I64" i="3" s="1"/>
  <c r="W10" i="3" s="1"/>
  <c r="C59" i="3" a="1"/>
  <c r="C59" i="3" s="1"/>
  <c r="Q5" i="3" s="1"/>
  <c r="G69" i="3" a="1"/>
  <c r="G69" i="3" s="1"/>
  <c r="U15" i="3" s="1"/>
  <c r="H66" i="3" a="1"/>
  <c r="H66" i="3" s="1"/>
  <c r="V12" i="3" s="1"/>
  <c r="C65" i="3" a="1"/>
  <c r="C65" i="3" s="1"/>
  <c r="Q11" i="3" s="1"/>
  <c r="H65" i="3" a="1"/>
  <c r="H65" i="3" s="1"/>
  <c r="V11" i="3" s="1"/>
  <c r="C68" i="3" a="1"/>
  <c r="C68" i="3" s="1"/>
  <c r="Q14" i="3" s="1"/>
  <c r="G60" i="3" a="1"/>
  <c r="G60" i="3" s="1"/>
  <c r="U6" i="3" s="1"/>
  <c r="D61" i="3" a="1"/>
  <c r="D61" i="3" s="1"/>
  <c r="R7" i="3" s="1"/>
  <c r="F65" i="3" a="1"/>
  <c r="F65" i="3" s="1"/>
  <c r="T11" i="3" s="1"/>
  <c r="G66" i="3" a="1"/>
  <c r="G66" i="3" s="1"/>
  <c r="U12" i="3" s="1"/>
  <c r="F66" i="3" a="1"/>
  <c r="F66" i="3" s="1"/>
  <c r="T12" i="3" s="1"/>
  <c r="D59" i="3" a="1"/>
  <c r="D59" i="3" s="1"/>
  <c r="R5" i="3" s="1"/>
  <c r="E62" i="3" a="1"/>
  <c r="E62" i="3" s="1"/>
  <c r="S8" i="3" s="1"/>
  <c r="C67" i="3" a="1"/>
  <c r="C67" i="3" s="1"/>
  <c r="Q13" i="3" s="1"/>
  <c r="G63" i="3" a="1"/>
  <c r="G63" i="3" s="1"/>
  <c r="U9" i="3" s="1"/>
  <c r="C63" i="3" a="1"/>
  <c r="C63" i="3" s="1"/>
  <c r="Q9" i="3" s="1"/>
  <c r="C64" i="3" a="1"/>
  <c r="C64" i="3" s="1"/>
  <c r="Q10" i="3" s="1"/>
  <c r="D66" i="3" a="1"/>
  <c r="D66" i="3" s="1"/>
  <c r="R12" i="3" s="1"/>
  <c r="D67" i="3" a="1"/>
  <c r="D67" i="3" s="1"/>
  <c r="R13" i="3" s="1"/>
  <c r="D65" i="3" a="1"/>
  <c r="D65" i="3" s="1"/>
  <c r="R11" i="3" s="1"/>
  <c r="C66" i="3" a="1"/>
  <c r="C66" i="3" s="1"/>
  <c r="Q12" i="3" s="1"/>
  <c r="G64" i="3" a="1"/>
  <c r="G64" i="3" s="1"/>
  <c r="U10" i="3" s="1"/>
  <c r="G59" i="3" a="1"/>
  <c r="G59" i="3" s="1"/>
  <c r="U5" i="3" s="1"/>
  <c r="G68" i="3" a="1"/>
  <c r="G68" i="3" s="1"/>
  <c r="U14" i="3" s="1"/>
  <c r="D60" i="3" a="1"/>
  <c r="D60" i="3" s="1"/>
  <c r="R6" i="3" s="1"/>
</calcChain>
</file>

<file path=xl/sharedStrings.xml><?xml version="1.0" encoding="utf-8"?>
<sst xmlns="http://schemas.openxmlformats.org/spreadsheetml/2006/main" count="251" uniqueCount="168">
  <si>
    <t>Code</t>
  </si>
  <si>
    <t>Nom</t>
  </si>
  <si>
    <t>Abbréviation</t>
  </si>
  <si>
    <t>Nombre de périodes</t>
  </si>
  <si>
    <t>Session 1</t>
  </si>
  <si>
    <t>601-101-MQ</t>
  </si>
  <si>
    <t>Écriture et littérature</t>
  </si>
  <si>
    <t>Écriture et lit.</t>
  </si>
  <si>
    <t>604-101-MQ</t>
  </si>
  <si>
    <t>Langue anglaise et communication</t>
  </si>
  <si>
    <t>Langue angl. et com.</t>
  </si>
  <si>
    <t>109-114-MQ</t>
  </si>
  <si>
    <t>Randonnée pédestre (25$)</t>
  </si>
  <si>
    <t>Randonnée pédestre</t>
  </si>
  <si>
    <t>201-A12-VM</t>
  </si>
  <si>
    <t>Mathématique pour l'informatique 1</t>
  </si>
  <si>
    <t>Math. pour info. 1</t>
  </si>
  <si>
    <t>410-A11-VM</t>
  </si>
  <si>
    <t>Administration</t>
  </si>
  <si>
    <t>420-B11-VM</t>
  </si>
  <si>
    <t>Programmation structurée</t>
  </si>
  <si>
    <t>Prog. structurée</t>
  </si>
  <si>
    <t>420-B12-VM</t>
  </si>
  <si>
    <t>Outils et matériels informatiques</t>
  </si>
  <si>
    <t>Outils et mat. info.</t>
  </si>
  <si>
    <t>Session 2</t>
  </si>
  <si>
    <t>340-101-MQ</t>
  </si>
  <si>
    <t>Philosophie et rationalité</t>
  </si>
  <si>
    <t>Philo. et rationalité</t>
  </si>
  <si>
    <t>601-102-MQ</t>
  </si>
  <si>
    <t>Littérature et imaginaire</t>
  </si>
  <si>
    <t>Littérature et imagin.</t>
  </si>
  <si>
    <t>604-4T1-VM</t>
  </si>
  <si>
    <t>Anglais des techniques I</t>
  </si>
  <si>
    <t>Anglais des tech. 1</t>
  </si>
  <si>
    <t>109-213-MQ</t>
  </si>
  <si>
    <t>Démarche et efficacité en power yoga</t>
  </si>
  <si>
    <t>Démarche power Yoga</t>
  </si>
  <si>
    <t>201-A22-VM</t>
  </si>
  <si>
    <t>Mathématique pour l'informatique II</t>
  </si>
  <si>
    <t>Math. pour info. 2</t>
  </si>
  <si>
    <t>420-B21-VM</t>
  </si>
  <si>
    <t>Programmation avancée</t>
  </si>
  <si>
    <t>Prog. avancée</t>
  </si>
  <si>
    <t>Systèmes d'exploitation</t>
  </si>
  <si>
    <t>Système d'exploitation</t>
  </si>
  <si>
    <t>Session 3</t>
  </si>
  <si>
    <t>L'être humain</t>
  </si>
  <si>
    <t>601-103-MQ</t>
  </si>
  <si>
    <t>Littérature québécoise</t>
  </si>
  <si>
    <t>109-311-MQ</t>
  </si>
  <si>
    <t>Mouvement / relaxation et autonomie</t>
  </si>
  <si>
    <t>Mouv. relax. auto.</t>
  </si>
  <si>
    <t>350-A32-VM</t>
  </si>
  <si>
    <t>Communications et interrelations</t>
  </si>
  <si>
    <t>Comm. et interrela.</t>
  </si>
  <si>
    <t>420-B31-VM</t>
  </si>
  <si>
    <t>Structures de données</t>
  </si>
  <si>
    <t>420-B32-VM</t>
  </si>
  <si>
    <t>Administration Linux et Windows</t>
  </si>
  <si>
    <t>Admin. Linux et Win.</t>
  </si>
  <si>
    <t>420-B33-VM</t>
  </si>
  <si>
    <t>Concepts de l'orienté objet</t>
  </si>
  <si>
    <t>Orienté objet</t>
  </si>
  <si>
    <t>Session 4</t>
  </si>
  <si>
    <t>340-4EB-VM</t>
  </si>
  <si>
    <t>Éthique et politique</t>
  </si>
  <si>
    <t>601-4EB-VM</t>
  </si>
  <si>
    <t>Littérature et culture contemporaines</t>
  </si>
  <si>
    <t>Litt. et cult. contemp.</t>
  </si>
  <si>
    <t>202-5DS-VM</t>
  </si>
  <si>
    <t>500 ans de développements scientifiques</t>
  </si>
  <si>
    <t>Dév. scientifique</t>
  </si>
  <si>
    <t>201-A31-VM</t>
  </si>
  <si>
    <t>Traitement statistique des données</t>
  </si>
  <si>
    <t>Traitement stat.</t>
  </si>
  <si>
    <t>420-B41-VM</t>
  </si>
  <si>
    <t>Gestion de projet: Techniques et méthodologie</t>
  </si>
  <si>
    <t>Gestion de projet</t>
  </si>
  <si>
    <t>420-B42-VM</t>
  </si>
  <si>
    <t>Langages d'exploitation des bases de données</t>
  </si>
  <si>
    <t>Langage d'expl. des BD</t>
  </si>
  <si>
    <t>420-B43-VM</t>
  </si>
  <si>
    <t>Programmation par objets avancée</t>
  </si>
  <si>
    <t>Prog. object avancée</t>
  </si>
  <si>
    <t>Session 5</t>
  </si>
  <si>
    <t>101-NHU-VM</t>
  </si>
  <si>
    <t>Nutrition humaine</t>
  </si>
  <si>
    <t>420-B51-VM</t>
  </si>
  <si>
    <t>Développement de systèmes</t>
  </si>
  <si>
    <t>Dév. systèmes</t>
  </si>
  <si>
    <t>420-B52-VM</t>
  </si>
  <si>
    <t>Développement en environnement de base de données</t>
  </si>
  <si>
    <t>Dév. env. de BD</t>
  </si>
  <si>
    <t>420-B53-VM</t>
  </si>
  <si>
    <t>Programmation en environnement graphique</t>
  </si>
  <si>
    <t>Prog. env. graphique</t>
  </si>
  <si>
    <t>420-B54-VM</t>
  </si>
  <si>
    <t>Gestion de réseaux</t>
  </si>
  <si>
    <t>420-B55-VM</t>
  </si>
  <si>
    <t>Administration de bases de données</t>
  </si>
  <si>
    <t>Admin. de BD</t>
  </si>
  <si>
    <t>Session 6</t>
  </si>
  <si>
    <t>420-B61-VM</t>
  </si>
  <si>
    <t>Réseaux mondiaux</t>
  </si>
  <si>
    <t>420-B62-VM</t>
  </si>
  <si>
    <t>Projet Oracle</t>
  </si>
  <si>
    <t>420-B63-VM</t>
  </si>
  <si>
    <t>Programmation Web avancée</t>
  </si>
  <si>
    <t>Prog. Web avancée</t>
  </si>
  <si>
    <t>420-B64-VM</t>
  </si>
  <si>
    <t>Configuration des réseaux</t>
  </si>
  <si>
    <t>Config. des réseaux</t>
  </si>
  <si>
    <t>420-B65-VM</t>
  </si>
  <si>
    <t>Synthèse</t>
  </si>
  <si>
    <t>Paramètres de la plage horaire</t>
  </si>
  <si>
    <t>Jours de la semaine</t>
  </si>
  <si>
    <t>List des locaux</t>
  </si>
  <si>
    <t>Heure de la première période</t>
  </si>
  <si>
    <t>Durée de chaque période</t>
  </si>
  <si>
    <t>Intervalle entre chaque période</t>
  </si>
  <si>
    <t>Dimanche</t>
  </si>
  <si>
    <t>Lundi</t>
  </si>
  <si>
    <t>Mardi</t>
  </si>
  <si>
    <t>Mercredi</t>
  </si>
  <si>
    <t>Jeudi</t>
  </si>
  <si>
    <t>Vendredi</t>
  </si>
  <si>
    <t>Samedi</t>
  </si>
  <si>
    <t>4.07</t>
  </si>
  <si>
    <t>4.08</t>
  </si>
  <si>
    <t>5.29</t>
  </si>
  <si>
    <t>3.34</t>
  </si>
  <si>
    <t>6.65</t>
  </si>
  <si>
    <t>7.15</t>
  </si>
  <si>
    <t>6.45</t>
  </si>
  <si>
    <t>Sélection des cours</t>
  </si>
  <si>
    <t>No</t>
  </si>
  <si>
    <t>Cours</t>
  </si>
  <si>
    <t>Période</t>
  </si>
  <si>
    <t>Jour</t>
  </si>
  <si>
    <t>Heure</t>
  </si>
  <si>
    <t>Nb</t>
  </si>
  <si>
    <t>Heure fin</t>
  </si>
  <si>
    <t>Local</t>
  </si>
  <si>
    <t>3.37</t>
  </si>
  <si>
    <t>3.39</t>
  </si>
  <si>
    <t>Planification de la première période</t>
  </si>
  <si>
    <t>Planification de la deuxième période</t>
  </si>
  <si>
    <t>Résumé des conflits</t>
  </si>
  <si>
    <t>Conflits</t>
  </si>
  <si>
    <t>Planification incomplète</t>
  </si>
  <si>
    <t>Planifcation dépassant 18h</t>
  </si>
  <si>
    <t>340-102-MQ</t>
  </si>
  <si>
    <t>420-B22-VM</t>
  </si>
  <si>
    <t>Paramètres  et références</t>
  </si>
  <si>
    <t>Planification de l'horaire</t>
  </si>
  <si>
    <t>Légende</t>
  </si>
  <si>
    <t>adc</t>
  </si>
  <si>
    <t>Planification adéquate</t>
  </si>
  <si>
    <t>abc</t>
  </si>
  <si>
    <t>Planification dépassant la plage horaire</t>
  </si>
  <si>
    <t>Conflit d'horaire</t>
  </si>
  <si>
    <t>Présentation de l'horaire</t>
  </si>
  <si>
    <t>Résumé de l'emploi du temps</t>
  </si>
  <si>
    <t>Tableau de comparaison</t>
  </si>
  <si>
    <t>Résumé des sessions 1 et 2</t>
  </si>
  <si>
    <t>Nb Hrs par jours</t>
  </si>
  <si>
    <t>Vendred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</si>
</sst>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h:mm;@"/>
    <numFmt numFmtId="165" formatCode="[$-F400]h:mm:ss\ AM/PM"/>
  </numFmts>
  <fonts count="21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48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rgb="FF9C5700"/>
      <name val="Calibri"/>
      <family val="2"/>
      <scheme val="minor"/>
    </font>
    <font>
      <sz val="16"/>
      <color rgb="FF006100"/>
      <name val="Calibri"/>
      <family val="2"/>
      <scheme val="minor"/>
    </font>
    <font>
      <sz val="18"/>
      <color theme="1"/>
      <name val="Calibri"/>
      <family val="2"/>
      <scheme val="minor"/>
    </font>
    <font>
      <sz val="16"/>
      <color rgb="FFFF0000"/>
      <name val="Calibri"/>
      <family val="2"/>
      <scheme val="minor"/>
    </font>
    <font>
      <sz val="16"/>
      <color theme="1" tint="0.34998626667073579"/>
      <name val="Calibri"/>
      <family val="2"/>
      <scheme val="minor"/>
    </font>
    <font>
      <sz val="16"/>
      <color theme="3"/>
      <name val="Calibri"/>
      <family val="2"/>
      <scheme val="minor"/>
    </font>
    <font>
      <sz val="16"/>
      <color theme="9"/>
      <name val="Calibri"/>
      <family val="2"/>
      <scheme val="minor"/>
    </font>
    <font>
      <sz val="16"/>
      <color theme="0"/>
      <name val="Calibri"/>
      <family val="2"/>
      <scheme val="minor"/>
    </font>
    <font>
      <sz val="22"/>
      <color theme="0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9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-0.499984740745262"/>
        <bgColor indexed="64"/>
      </patternFill>
    </fill>
  </fills>
  <borders count="3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/>
      <diagonal/>
    </border>
    <border>
      <left style="thin">
        <color indexed="64"/>
      </left>
      <right style="thin">
        <color indexed="64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/>
      <right style="thin">
        <color indexed="64"/>
      </right>
      <top style="thin">
        <color theme="0"/>
      </top>
      <bottom/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indexed="64"/>
      </right>
      <top style="thin">
        <color theme="0"/>
      </top>
      <bottom style="thin">
        <color theme="0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n">
        <color indexed="64"/>
      </left>
      <right style="thin">
        <color rgb="FF7F7F7F"/>
      </right>
      <top style="thin">
        <color indexed="64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indexed="64"/>
      </top>
      <bottom style="thin">
        <color rgb="FF7F7F7F"/>
      </bottom>
      <diagonal/>
    </border>
    <border>
      <left style="thin">
        <color rgb="FF7F7F7F"/>
      </left>
      <right style="thin">
        <color indexed="64"/>
      </right>
      <top style="thin">
        <color indexed="64"/>
      </top>
      <bottom style="thin">
        <color rgb="FF7F7F7F"/>
      </bottom>
      <diagonal/>
    </border>
    <border>
      <left style="thin">
        <color indexed="64"/>
      </left>
      <right/>
      <top style="thin">
        <color indexed="64"/>
      </top>
      <bottom style="thin">
        <color rgb="FF7F7F7F"/>
      </bottom>
      <diagonal/>
    </border>
    <border>
      <left/>
      <right/>
      <top style="thin">
        <color indexed="64"/>
      </top>
      <bottom style="thin">
        <color rgb="FF7F7F7F"/>
      </bottom>
      <diagonal/>
    </border>
    <border>
      <left/>
      <right style="thin">
        <color indexed="64"/>
      </right>
      <top style="thin">
        <color indexed="64"/>
      </top>
      <bottom style="thin">
        <color rgb="FF7F7F7F"/>
      </bottom>
      <diagonal/>
    </border>
  </borders>
  <cellStyleXfs count="8">
    <xf numFmtId="0" fontId="0" fillId="0" borderId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4" borderId="0" applyNumberFormat="0" applyBorder="0" applyAlignment="0" applyProtection="0"/>
    <xf numFmtId="0" fontId="6" fillId="5" borderId="1" applyNumberFormat="0" applyAlignment="0" applyProtection="0"/>
    <xf numFmtId="0" fontId="7" fillId="6" borderId="1" applyNumberFormat="0" applyAlignment="0" applyProtection="0"/>
    <xf numFmtId="0" fontId="2" fillId="7" borderId="0" applyNumberFormat="0" applyBorder="0" applyAlignment="0" applyProtection="0"/>
    <xf numFmtId="0" fontId="9" fillId="8" borderId="0" applyNumberFormat="0" applyBorder="0" applyAlignment="0" applyProtection="0"/>
  </cellStyleXfs>
  <cellXfs count="181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165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Border="1"/>
    <xf numFmtId="0" fontId="0" fillId="0" borderId="0" xfId="0" applyFont="1" applyAlignment="1">
      <alignment horizontal="left"/>
    </xf>
    <xf numFmtId="0" fontId="0" fillId="0" borderId="10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14" xfId="0" applyFont="1" applyBorder="1" applyAlignment="1">
      <alignment horizontal="center" vertical="center"/>
    </xf>
    <xf numFmtId="0" fontId="0" fillId="0" borderId="14" xfId="0" applyFont="1" applyBorder="1" applyAlignment="1">
      <alignment horizontal="left" vertical="center"/>
    </xf>
    <xf numFmtId="0" fontId="0" fillId="0" borderId="7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15" xfId="0" applyFont="1" applyBorder="1" applyAlignment="1">
      <alignment horizontal="center" vertical="center"/>
    </xf>
    <xf numFmtId="0" fontId="0" fillId="0" borderId="15" xfId="0" applyFont="1" applyBorder="1" applyAlignment="1">
      <alignment horizontal="left" vertical="center"/>
    </xf>
    <xf numFmtId="0" fontId="0" fillId="0" borderId="8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16" xfId="0" applyFont="1" applyBorder="1" applyAlignment="1">
      <alignment horizontal="center" vertical="center"/>
    </xf>
    <xf numFmtId="0" fontId="0" fillId="0" borderId="16" xfId="0" applyFont="1" applyBorder="1" applyAlignment="1">
      <alignment horizontal="left" vertical="center"/>
    </xf>
    <xf numFmtId="164" fontId="0" fillId="0" borderId="0" xfId="0" applyNumberFormat="1" applyFont="1" applyBorder="1" applyAlignment="1">
      <alignment horizontal="center" vertical="center"/>
    </xf>
    <xf numFmtId="164" fontId="0" fillId="0" borderId="7" xfId="0" applyNumberFormat="1" applyFont="1" applyBorder="1" applyAlignment="1">
      <alignment horizontal="center" vertical="center"/>
    </xf>
    <xf numFmtId="164" fontId="0" fillId="0" borderId="9" xfId="0" applyNumberFormat="1" applyFont="1" applyBorder="1" applyAlignment="1">
      <alignment horizontal="center" vertical="center"/>
    </xf>
    <xf numFmtId="164" fontId="0" fillId="0" borderId="10" xfId="0" applyNumberFormat="1" applyFont="1" applyBorder="1" applyAlignment="1">
      <alignment horizontal="center" vertical="center"/>
    </xf>
    <xf numFmtId="164" fontId="0" fillId="0" borderId="0" xfId="0" applyNumberFormat="1" applyFont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20" fontId="0" fillId="0" borderId="7" xfId="0" applyNumberFormat="1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20" fontId="0" fillId="0" borderId="10" xfId="0" applyNumberFormat="1" applyFont="1" applyBorder="1" applyAlignment="1">
      <alignment horizontal="center" vertical="center"/>
    </xf>
    <xf numFmtId="0" fontId="3" fillId="2" borderId="11" xfId="1" applyBorder="1" applyAlignment="1">
      <alignment horizontal="center" vertical="center"/>
    </xf>
    <xf numFmtId="0" fontId="3" fillId="2" borderId="13" xfId="1" applyBorder="1" applyAlignment="1">
      <alignment horizontal="center" vertical="center"/>
    </xf>
    <xf numFmtId="0" fontId="3" fillId="2" borderId="2" xfId="1" applyBorder="1" applyAlignment="1">
      <alignment horizontal="center" vertical="center"/>
    </xf>
    <xf numFmtId="0" fontId="3" fillId="2" borderId="12" xfId="1" applyBorder="1" applyAlignment="1">
      <alignment horizontal="center" vertical="center"/>
    </xf>
    <xf numFmtId="0" fontId="3" fillId="2" borderId="12" xfId="1" applyBorder="1" applyAlignment="1">
      <alignment horizontal="center" vertical="center"/>
    </xf>
    <xf numFmtId="0" fontId="3" fillId="2" borderId="11" xfId="1" applyBorder="1" applyAlignment="1">
      <alignment horizontal="center" vertical="center"/>
    </xf>
    <xf numFmtId="0" fontId="3" fillId="2" borderId="13" xfId="1" applyBorder="1" applyAlignment="1">
      <alignment horizontal="center" vertical="center"/>
    </xf>
    <xf numFmtId="0" fontId="2" fillId="12" borderId="15" xfId="6" applyFill="1" applyBorder="1" applyAlignment="1">
      <alignment horizontal="center" vertical="center"/>
    </xf>
    <xf numFmtId="0" fontId="2" fillId="12" borderId="15" xfId="6" applyFill="1" applyBorder="1" applyAlignment="1">
      <alignment horizontal="left" vertical="center"/>
    </xf>
    <xf numFmtId="0" fontId="2" fillId="12" borderId="7" xfId="6" applyFill="1" applyBorder="1" applyAlignment="1">
      <alignment horizontal="center" vertical="center"/>
    </xf>
    <xf numFmtId="0" fontId="0" fillId="12" borderId="15" xfId="0" applyFont="1" applyFill="1" applyBorder="1" applyAlignment="1">
      <alignment horizontal="center" vertical="center"/>
    </xf>
    <xf numFmtId="0" fontId="0" fillId="12" borderId="15" xfId="0" applyFont="1" applyFill="1" applyBorder="1" applyAlignment="1">
      <alignment horizontal="left" vertical="center"/>
    </xf>
    <xf numFmtId="0" fontId="0" fillId="12" borderId="7" xfId="0" applyFont="1" applyFill="1" applyBorder="1" applyAlignment="1">
      <alignment horizontal="center" vertical="center"/>
    </xf>
    <xf numFmtId="0" fontId="0" fillId="12" borderId="14" xfId="0" applyFont="1" applyFill="1" applyBorder="1" applyAlignment="1">
      <alignment horizontal="center" vertical="center"/>
    </xf>
    <xf numFmtId="0" fontId="0" fillId="12" borderId="14" xfId="0" applyFont="1" applyFill="1" applyBorder="1" applyAlignment="1">
      <alignment horizontal="left" vertical="center"/>
    </xf>
    <xf numFmtId="0" fontId="0" fillId="12" borderId="5" xfId="0" applyFont="1" applyFill="1" applyBorder="1" applyAlignment="1">
      <alignment horizontal="center" vertical="center"/>
    </xf>
    <xf numFmtId="164" fontId="0" fillId="12" borderId="16" xfId="0" applyNumberFormat="1" applyFont="1" applyFill="1" applyBorder="1" applyAlignment="1">
      <alignment horizontal="center" vertical="center"/>
    </xf>
    <xf numFmtId="0" fontId="0" fillId="12" borderId="16" xfId="0" applyFont="1" applyFill="1" applyBorder="1" applyAlignment="1">
      <alignment horizontal="left" vertical="center"/>
    </xf>
    <xf numFmtId="0" fontId="0" fillId="12" borderId="10" xfId="0" applyFont="1" applyFill="1" applyBorder="1" applyAlignment="1">
      <alignment horizontal="center" vertical="center"/>
    </xf>
    <xf numFmtId="0" fontId="0" fillId="12" borderId="16" xfId="0" applyFont="1" applyFill="1" applyBorder="1" applyAlignment="1">
      <alignment horizontal="center" vertical="center"/>
    </xf>
    <xf numFmtId="0" fontId="0" fillId="12" borderId="6" xfId="0" applyFont="1" applyFill="1" applyBorder="1" applyAlignment="1">
      <alignment horizontal="center" vertical="center"/>
    </xf>
    <xf numFmtId="0" fontId="0" fillId="12" borderId="0" xfId="0" applyFont="1" applyFill="1" applyBorder="1" applyAlignment="1">
      <alignment horizontal="center" vertical="center"/>
    </xf>
    <xf numFmtId="20" fontId="0" fillId="12" borderId="7" xfId="0" applyNumberFormat="1" applyFont="1" applyFill="1" applyBorder="1" applyAlignment="1">
      <alignment horizontal="center" vertical="center"/>
    </xf>
    <xf numFmtId="0" fontId="0" fillId="12" borderId="6" xfId="0" applyFont="1" applyFill="1" applyBorder="1" applyAlignment="1">
      <alignment horizontal="center" vertical="center"/>
    </xf>
    <xf numFmtId="164" fontId="0" fillId="12" borderId="0" xfId="0" applyNumberFormat="1" applyFont="1" applyFill="1" applyBorder="1" applyAlignment="1">
      <alignment horizontal="center" vertical="center"/>
    </xf>
    <xf numFmtId="164" fontId="0" fillId="12" borderId="7" xfId="0" applyNumberFormat="1" applyFont="1" applyFill="1" applyBorder="1" applyAlignment="1">
      <alignment horizontal="center" vertical="center"/>
    </xf>
    <xf numFmtId="0" fontId="6" fillId="5" borderId="1" xfId="4" applyAlignment="1">
      <alignment horizontal="center" vertical="center" textRotation="90"/>
    </xf>
    <xf numFmtId="0" fontId="9" fillId="13" borderId="0" xfId="7" applyFill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1" fillId="0" borderId="0" xfId="0" applyFont="1"/>
    <xf numFmtId="0" fontId="11" fillId="0" borderId="0" xfId="0" applyFont="1" applyBorder="1" applyAlignment="1">
      <alignment horizontal="center" vertical="center"/>
    </xf>
    <xf numFmtId="0" fontId="11" fillId="0" borderId="0" xfId="0" applyFont="1" applyBorder="1"/>
    <xf numFmtId="0" fontId="13" fillId="2" borderId="12" xfId="1" applyFont="1" applyBorder="1" applyAlignment="1">
      <alignment horizontal="center" vertical="center"/>
    </xf>
    <xf numFmtId="0" fontId="13" fillId="2" borderId="13" xfId="1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13" fillId="2" borderId="11" xfId="1" applyFont="1" applyBorder="1" applyAlignment="1">
      <alignment horizontal="center" vertical="center"/>
    </xf>
    <xf numFmtId="0" fontId="11" fillId="12" borderId="15" xfId="0" applyFont="1" applyFill="1" applyBorder="1" applyAlignment="1">
      <alignment horizontal="center" vertical="center"/>
    </xf>
    <xf numFmtId="0" fontId="11" fillId="12" borderId="0" xfId="0" applyFont="1" applyFill="1" applyBorder="1" applyAlignment="1">
      <alignment horizontal="center" vertical="center"/>
    </xf>
    <xf numFmtId="164" fontId="11" fillId="12" borderId="0" xfId="0" applyNumberFormat="1" applyFont="1" applyFill="1" applyBorder="1" applyAlignment="1">
      <alignment horizontal="center" vertical="center"/>
    </xf>
    <xf numFmtId="0" fontId="11" fillId="12" borderId="7" xfId="0" applyFont="1" applyFill="1" applyBorder="1" applyAlignment="1">
      <alignment horizontal="center" vertical="center"/>
    </xf>
    <xf numFmtId="0" fontId="11" fillId="12" borderId="16" xfId="0" applyFont="1" applyFill="1" applyBorder="1" applyAlignment="1">
      <alignment horizontal="center" vertical="center"/>
    </xf>
    <xf numFmtId="0" fontId="11" fillId="12" borderId="9" xfId="0" applyFont="1" applyFill="1" applyBorder="1" applyAlignment="1">
      <alignment horizontal="center" vertical="center"/>
    </xf>
    <xf numFmtId="164" fontId="11" fillId="12" borderId="9" xfId="0" applyNumberFormat="1" applyFont="1" applyFill="1" applyBorder="1" applyAlignment="1">
      <alignment horizontal="center" vertical="center"/>
    </xf>
    <xf numFmtId="0" fontId="11" fillId="12" borderId="10" xfId="0" applyFont="1" applyFill="1" applyBorder="1" applyAlignment="1">
      <alignment horizontal="center" vertical="center"/>
    </xf>
    <xf numFmtId="0" fontId="11" fillId="12" borderId="17" xfId="0" applyFont="1" applyFill="1" applyBorder="1" applyAlignment="1">
      <alignment horizontal="center" vertical="center"/>
    </xf>
    <xf numFmtId="0" fontId="11" fillId="12" borderId="19" xfId="0" applyFont="1" applyFill="1" applyBorder="1" applyAlignment="1">
      <alignment horizontal="center" vertical="center"/>
    </xf>
    <xf numFmtId="164" fontId="11" fillId="12" borderId="19" xfId="0" applyNumberFormat="1" applyFont="1" applyFill="1" applyBorder="1" applyAlignment="1">
      <alignment horizontal="center" vertical="center"/>
    </xf>
    <xf numFmtId="0" fontId="11" fillId="12" borderId="20" xfId="0" applyFont="1" applyFill="1" applyBorder="1" applyAlignment="1">
      <alignment horizontal="center" vertical="center"/>
    </xf>
    <xf numFmtId="0" fontId="11" fillId="12" borderId="18" xfId="0" applyFont="1" applyFill="1" applyBorder="1" applyAlignment="1">
      <alignment horizontal="center" vertical="center"/>
    </xf>
    <xf numFmtId="0" fontId="11" fillId="12" borderId="21" xfId="0" applyFont="1" applyFill="1" applyBorder="1" applyAlignment="1">
      <alignment horizontal="center" vertical="center"/>
    </xf>
    <xf numFmtId="164" fontId="11" fillId="12" borderId="21" xfId="0" applyNumberFormat="1" applyFont="1" applyFill="1" applyBorder="1" applyAlignment="1">
      <alignment horizontal="center" vertical="center"/>
    </xf>
    <xf numFmtId="0" fontId="11" fillId="12" borderId="22" xfId="0" applyFont="1" applyFill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12" fillId="0" borderId="12" xfId="3" applyFont="1" applyFill="1" applyBorder="1" applyAlignment="1">
      <alignment horizontal="center" vertical="center"/>
    </xf>
    <xf numFmtId="0" fontId="12" fillId="15" borderId="16" xfId="3" applyFont="1" applyFill="1" applyBorder="1" applyAlignment="1">
      <alignment horizontal="center" vertical="center"/>
    </xf>
    <xf numFmtId="0" fontId="12" fillId="15" borderId="9" xfId="3" applyFont="1" applyFill="1" applyBorder="1" applyAlignment="1">
      <alignment horizontal="center" vertical="center"/>
    </xf>
    <xf numFmtId="0" fontId="12" fillId="15" borderId="12" xfId="3" applyFont="1" applyFill="1" applyBorder="1" applyAlignment="1">
      <alignment horizontal="center" vertical="center"/>
    </xf>
    <xf numFmtId="0" fontId="0" fillId="0" borderId="0" xfId="0" applyFill="1"/>
    <xf numFmtId="0" fontId="11" fillId="0" borderId="0" xfId="0" applyFont="1" applyFill="1" applyBorder="1" applyAlignment="1">
      <alignment horizontal="center" vertical="center"/>
    </xf>
    <xf numFmtId="0" fontId="12" fillId="0" borderId="0" xfId="3" applyFont="1" applyFill="1" applyBorder="1" applyAlignment="1">
      <alignment horizontal="center" vertical="center"/>
    </xf>
    <xf numFmtId="0" fontId="11" fillId="0" borderId="21" xfId="0" applyFont="1" applyFill="1" applyBorder="1" applyAlignment="1">
      <alignment horizontal="center" vertical="center"/>
    </xf>
    <xf numFmtId="0" fontId="11" fillId="0" borderId="19" xfId="0" applyFont="1" applyFill="1" applyBorder="1" applyAlignment="1">
      <alignment horizontal="center" vertical="center"/>
    </xf>
    <xf numFmtId="0" fontId="11" fillId="0" borderId="9" xfId="0" applyFont="1" applyFill="1" applyBorder="1" applyAlignment="1">
      <alignment horizontal="center" vertical="center"/>
    </xf>
    <xf numFmtId="0" fontId="11" fillId="0" borderId="0" xfId="0" applyFont="1" applyFill="1"/>
    <xf numFmtId="0" fontId="11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1" fillId="0" borderId="12" xfId="0" applyFont="1" applyFill="1" applyBorder="1" applyAlignment="1">
      <alignment horizontal="center" vertical="center"/>
    </xf>
    <xf numFmtId="0" fontId="12" fillId="15" borderId="13" xfId="3" applyFont="1" applyFill="1" applyBorder="1" applyAlignment="1">
      <alignment horizontal="center" vertical="center"/>
    </xf>
    <xf numFmtId="0" fontId="16" fillId="12" borderId="15" xfId="3" applyFont="1" applyFill="1" applyBorder="1" applyAlignment="1">
      <alignment horizontal="center" vertical="center"/>
    </xf>
    <xf numFmtId="0" fontId="16" fillId="12" borderId="18" xfId="3" applyFont="1" applyFill="1" applyBorder="1" applyAlignment="1">
      <alignment horizontal="center" vertical="center"/>
    </xf>
    <xf numFmtId="0" fontId="16" fillId="12" borderId="17" xfId="3" applyFont="1" applyFill="1" applyBorder="1" applyAlignment="1">
      <alignment horizontal="center" vertical="center"/>
    </xf>
    <xf numFmtId="0" fontId="16" fillId="12" borderId="16" xfId="3" applyFont="1" applyFill="1" applyBorder="1" applyAlignment="1">
      <alignment horizontal="center" vertical="center"/>
    </xf>
    <xf numFmtId="0" fontId="16" fillId="12" borderId="0" xfId="0" applyFont="1" applyFill="1" applyBorder="1" applyAlignment="1">
      <alignment horizontal="center" vertical="center"/>
    </xf>
    <xf numFmtId="0" fontId="16" fillId="12" borderId="21" xfId="0" applyFont="1" applyFill="1" applyBorder="1" applyAlignment="1">
      <alignment horizontal="center" vertical="center"/>
    </xf>
    <xf numFmtId="0" fontId="16" fillId="12" borderId="19" xfId="0" applyFont="1" applyFill="1" applyBorder="1" applyAlignment="1">
      <alignment horizontal="center" vertical="center"/>
    </xf>
    <xf numFmtId="0" fontId="16" fillId="12" borderId="9" xfId="0" applyFont="1" applyFill="1" applyBorder="1" applyAlignment="1">
      <alignment horizontal="center" vertical="center"/>
    </xf>
    <xf numFmtId="164" fontId="16" fillId="12" borderId="0" xfId="0" applyNumberFormat="1" applyFont="1" applyFill="1" applyBorder="1" applyAlignment="1">
      <alignment horizontal="center" vertical="center"/>
    </xf>
    <xf numFmtId="164" fontId="16" fillId="12" borderId="21" xfId="0" applyNumberFormat="1" applyFont="1" applyFill="1" applyBorder="1" applyAlignment="1">
      <alignment horizontal="center" vertical="center"/>
    </xf>
    <xf numFmtId="164" fontId="16" fillId="12" borderId="19" xfId="0" applyNumberFormat="1" applyFont="1" applyFill="1" applyBorder="1" applyAlignment="1">
      <alignment horizontal="center" vertical="center"/>
    </xf>
    <xf numFmtId="164" fontId="16" fillId="12" borderId="9" xfId="0" applyNumberFormat="1" applyFont="1" applyFill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11" fillId="11" borderId="6" xfId="0" applyFont="1" applyFill="1" applyBorder="1" applyAlignment="1">
      <alignment horizontal="center" vertical="center"/>
    </xf>
    <xf numFmtId="0" fontId="17" fillId="14" borderId="6" xfId="0" applyFont="1" applyFill="1" applyBorder="1" applyAlignment="1">
      <alignment horizontal="center" vertical="center"/>
    </xf>
    <xf numFmtId="0" fontId="18" fillId="10" borderId="6" xfId="0" applyFont="1" applyFill="1" applyBorder="1" applyAlignment="1">
      <alignment horizontal="center" vertical="center"/>
    </xf>
    <xf numFmtId="0" fontId="15" fillId="9" borderId="8" xfId="2" applyFont="1" applyFill="1" applyBorder="1" applyAlignment="1">
      <alignment horizontal="center" vertical="center"/>
    </xf>
    <xf numFmtId="0" fontId="11" fillId="0" borderId="7" xfId="0" applyFont="1" applyBorder="1" applyAlignment="1">
      <alignment horizontal="left" vertical="center"/>
    </xf>
    <xf numFmtId="0" fontId="11" fillId="0" borderId="10" xfId="0" applyFont="1" applyBorder="1" applyAlignment="1">
      <alignment horizontal="left" vertical="center"/>
    </xf>
    <xf numFmtId="0" fontId="11" fillId="0" borderId="9" xfId="0" applyFont="1" applyBorder="1" applyAlignment="1">
      <alignment horizontal="left" vertical="center"/>
    </xf>
    <xf numFmtId="0" fontId="14" fillId="0" borderId="7" xfId="0" applyFont="1" applyBorder="1" applyAlignment="1">
      <alignment horizontal="right" vertical="center" textRotation="90"/>
    </xf>
    <xf numFmtId="20" fontId="0" fillId="0" borderId="0" xfId="0" applyNumberFormat="1" applyBorder="1" applyAlignment="1">
      <alignment horizontal="center" vertical="center"/>
    </xf>
    <xf numFmtId="20" fontId="0" fillId="0" borderId="9" xfId="0" applyNumberFormat="1" applyBorder="1" applyAlignment="1">
      <alignment horizontal="center" vertical="center"/>
    </xf>
    <xf numFmtId="0" fontId="19" fillId="16" borderId="3" xfId="0" applyFont="1" applyFill="1" applyBorder="1" applyAlignment="1">
      <alignment horizontal="center" vertical="center"/>
    </xf>
    <xf numFmtId="0" fontId="19" fillId="16" borderId="4" xfId="0" applyFont="1" applyFill="1" applyBorder="1" applyAlignment="1">
      <alignment horizontal="center" vertical="center"/>
    </xf>
    <xf numFmtId="20" fontId="19" fillId="16" borderId="6" xfId="0" applyNumberFormat="1" applyFont="1" applyFill="1" applyBorder="1" applyAlignment="1">
      <alignment horizontal="center" vertical="center"/>
    </xf>
    <xf numFmtId="20" fontId="19" fillId="16" borderId="0" xfId="0" applyNumberFormat="1" applyFont="1" applyFill="1" applyBorder="1" applyAlignment="1">
      <alignment horizontal="center" vertical="center"/>
    </xf>
    <xf numFmtId="20" fontId="19" fillId="16" borderId="8" xfId="0" applyNumberFormat="1" applyFont="1" applyFill="1" applyBorder="1" applyAlignment="1">
      <alignment horizontal="center" vertical="center"/>
    </xf>
    <xf numFmtId="20" fontId="19" fillId="16" borderId="9" xfId="0" applyNumberFormat="1" applyFont="1" applyFill="1" applyBorder="1" applyAlignment="1">
      <alignment horizontal="center" vertical="center"/>
    </xf>
    <xf numFmtId="0" fontId="20" fillId="16" borderId="4" xfId="0" applyFont="1" applyFill="1" applyBorder="1" applyAlignment="1">
      <alignment horizontal="center" vertical="center"/>
    </xf>
    <xf numFmtId="0" fontId="20" fillId="16" borderId="5" xfId="0" applyFont="1" applyFill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7" fillId="6" borderId="24" xfId="5" applyBorder="1" applyAlignment="1">
      <alignment horizontal="center" vertical="center"/>
    </xf>
    <xf numFmtId="0" fontId="7" fillId="6" borderId="25" xfId="5" applyBorder="1" applyAlignment="1">
      <alignment horizontal="center" vertical="center"/>
    </xf>
    <xf numFmtId="0" fontId="7" fillId="6" borderId="26" xfId="5" applyBorder="1" applyAlignment="1">
      <alignment horizontal="center" vertical="center"/>
    </xf>
    <xf numFmtId="0" fontId="8" fillId="6" borderId="24" xfId="5" applyFont="1" applyBorder="1" applyAlignment="1">
      <alignment horizontal="center" vertical="center"/>
    </xf>
    <xf numFmtId="0" fontId="8" fillId="6" borderId="25" xfId="5" applyFont="1" applyBorder="1" applyAlignment="1">
      <alignment horizontal="center" vertical="center"/>
    </xf>
    <xf numFmtId="0" fontId="8" fillId="6" borderId="26" xfId="5" applyFont="1" applyBorder="1" applyAlignment="1">
      <alignment horizontal="center" vertical="center"/>
    </xf>
    <xf numFmtId="164" fontId="1" fillId="0" borderId="6" xfId="0" applyNumberFormat="1" applyFont="1" applyBorder="1" applyAlignment="1">
      <alignment horizontal="center" vertical="center"/>
    </xf>
    <xf numFmtId="164" fontId="1" fillId="0" borderId="8" xfId="0" applyNumberFormat="1" applyFont="1" applyBorder="1" applyAlignment="1">
      <alignment horizontal="center" vertical="center"/>
    </xf>
    <xf numFmtId="0" fontId="7" fillId="6" borderId="27" xfId="5" applyBorder="1" applyAlignment="1">
      <alignment horizontal="center" vertical="center"/>
    </xf>
    <xf numFmtId="0" fontId="7" fillId="6" borderId="28" xfId="5" applyBorder="1" applyAlignment="1">
      <alignment horizontal="center" vertical="center"/>
    </xf>
    <xf numFmtId="0" fontId="7" fillId="6" borderId="29" xfId="5" applyBorder="1" applyAlignment="1">
      <alignment horizontal="center" vertical="center"/>
    </xf>
    <xf numFmtId="0" fontId="7" fillId="6" borderId="11" xfId="5" applyBorder="1" applyAlignment="1">
      <alignment horizontal="center" vertical="center"/>
    </xf>
    <xf numFmtId="0" fontId="7" fillId="6" borderId="13" xfId="5" applyBorder="1" applyAlignment="1">
      <alignment horizontal="center" vertical="center"/>
    </xf>
    <xf numFmtId="0" fontId="7" fillId="6" borderId="11" xfId="5" applyBorder="1" applyAlignment="1">
      <alignment horizontal="center"/>
    </xf>
    <xf numFmtId="0" fontId="7" fillId="6" borderId="13" xfId="5" applyBorder="1" applyAlignment="1">
      <alignment horizontal="center"/>
    </xf>
    <xf numFmtId="0" fontId="0" fillId="0" borderId="6" xfId="0" applyBorder="1" applyAlignment="1">
      <alignment horizontal="left" vertical="center"/>
    </xf>
    <xf numFmtId="0" fontId="0" fillId="0" borderId="7" xfId="0" applyBorder="1"/>
    <xf numFmtId="0" fontId="0" fillId="0" borderId="6" xfId="0" applyBorder="1" applyAlignment="1">
      <alignment horizontal="left"/>
    </xf>
    <xf numFmtId="0" fontId="0" fillId="0" borderId="8" xfId="0" applyBorder="1" applyAlignment="1">
      <alignment horizontal="left" vertical="center"/>
    </xf>
    <xf numFmtId="0" fontId="0" fillId="0" borderId="10" xfId="0" applyBorder="1"/>
    <xf numFmtId="0" fontId="7" fillId="6" borderId="12" xfId="5" applyBorder="1" applyAlignment="1">
      <alignment horizontal="center"/>
    </xf>
    <xf numFmtId="0" fontId="0" fillId="0" borderId="6" xfId="0" applyBorder="1"/>
    <xf numFmtId="164" fontId="0" fillId="0" borderId="0" xfId="0" applyNumberFormat="1" applyBorder="1"/>
    <xf numFmtId="0" fontId="0" fillId="0" borderId="0" xfId="0" quotePrefix="1" applyNumberFormat="1" applyBorder="1"/>
    <xf numFmtId="0" fontId="0" fillId="0" borderId="8" xfId="0" applyBorder="1"/>
    <xf numFmtId="164" fontId="0" fillId="0" borderId="9" xfId="0" applyNumberFormat="1" applyBorder="1"/>
    <xf numFmtId="0" fontId="0" fillId="0" borderId="9" xfId="0" quotePrefix="1" applyNumberFormat="1" applyBorder="1"/>
    <xf numFmtId="0" fontId="7" fillId="6" borderId="3" xfId="5" applyBorder="1" applyAlignment="1">
      <alignment horizontal="center" vertical="center"/>
    </xf>
    <xf numFmtId="0" fontId="7" fillId="6" borderId="4" xfId="5" applyBorder="1" applyAlignment="1">
      <alignment horizontal="center" vertical="center"/>
    </xf>
    <xf numFmtId="0" fontId="7" fillId="6" borderId="5" xfId="5" applyBorder="1" applyAlignment="1">
      <alignment horizontal="center" vertical="center"/>
    </xf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9" xfId="0" applyBorder="1"/>
  </cellXfs>
  <cellStyles count="8">
    <cellStyle name="20 % - Accent3" xfId="6" builtinId="38"/>
    <cellStyle name="Accent6" xfId="7" builtinId="49"/>
    <cellStyle name="Calcul" xfId="5" builtinId="22"/>
    <cellStyle name="Entrée" xfId="4" builtinId="20"/>
    <cellStyle name="Insatisfaisant" xfId="2" builtinId="27"/>
    <cellStyle name="Neutre" xfId="3" builtinId="28"/>
    <cellStyle name="Normal" xfId="0" builtinId="0"/>
    <cellStyle name="Satisfaisant" xfId="1" builtinId="26"/>
  </cellStyles>
  <dxfs count="39">
    <dxf>
      <fill>
        <patternFill>
          <bgColor theme="9" tint="0.79998168889431442"/>
        </patternFill>
      </fill>
    </dxf>
    <dxf>
      <fill>
        <patternFill>
          <bgColor theme="8"/>
        </patternFill>
      </fill>
    </dxf>
    <dxf>
      <fill>
        <patternFill>
          <bgColor theme="5"/>
        </patternFill>
      </fill>
    </dxf>
    <dxf>
      <fill>
        <patternFill>
          <bgColor rgb="FFFFC000"/>
        </patternFill>
      </fill>
    </dxf>
    <dxf>
      <fill>
        <patternFill>
          <bgColor rgb="FFA86ED4"/>
        </patternFill>
      </fill>
    </dxf>
    <dxf>
      <fill>
        <patternFill>
          <bgColor rgb="FF00CC66"/>
        </patternFill>
      </fill>
    </dxf>
    <dxf>
      <fill>
        <patternFill>
          <bgColor rgb="FF669900"/>
        </patternFill>
      </fill>
    </dxf>
    <dxf>
      <fill>
        <patternFill>
          <bgColor rgb="FF3366FF"/>
        </patternFill>
      </fill>
    </dxf>
    <dxf>
      <fill>
        <patternFill>
          <bgColor rgb="FFFF66FF"/>
        </patternFill>
      </fill>
    </dxf>
    <dxf>
      <fill>
        <patternFill>
          <bgColor rgb="FF00FFCC"/>
        </patternFill>
      </fill>
    </dxf>
    <dxf>
      <font>
        <color rgb="FFFF0000"/>
      </font>
      <fill>
        <patternFill>
          <bgColor rgb="FFFF9797"/>
        </patternFill>
      </fill>
    </dxf>
    <dxf>
      <font>
        <color theme="3"/>
      </font>
      <fill>
        <patternFill>
          <bgColor theme="8" tint="0.39994506668294322"/>
        </patternFill>
      </fill>
    </dxf>
    <dxf>
      <font>
        <color rgb="FFFF0000"/>
      </font>
      <fill>
        <patternFill>
          <bgColor theme="5" tint="0.79998168889431442"/>
        </patternFill>
      </fill>
    </dxf>
    <dxf>
      <font>
        <color theme="9"/>
      </font>
      <fill>
        <patternFill>
          <bgColor rgb="FFFFFF99"/>
        </patternFill>
      </fill>
    </dxf>
    <dxf>
      <font>
        <color rgb="FFFF9966"/>
      </font>
      <fill>
        <patternFill>
          <bgColor rgb="FFFFFF99"/>
        </patternFill>
      </fill>
    </dxf>
    <dxf>
      <font>
        <color rgb="FFFF0000"/>
      </font>
      <fill>
        <patternFill>
          <bgColor theme="5" tint="0.79998168889431442"/>
        </patternFill>
      </fill>
    </dxf>
    <dxf>
      <font>
        <color theme="3"/>
      </font>
      <fill>
        <patternFill>
          <bgColor theme="8" tint="0.39994506668294322"/>
        </patternFill>
      </fill>
    </dxf>
    <dxf>
      <font>
        <color rgb="FFFF9966"/>
      </font>
      <fill>
        <patternFill>
          <bgColor rgb="FFFFFF99"/>
        </patternFill>
      </fill>
    </dxf>
    <dxf>
      <font>
        <color theme="3"/>
      </font>
      <fill>
        <patternFill>
          <bgColor theme="8" tint="0.39994506668294322"/>
        </patternFill>
      </fill>
    </dxf>
    <dxf>
      <font>
        <color rgb="FFFF0000"/>
      </font>
      <fill>
        <patternFill>
          <bgColor theme="5" tint="0.79998168889431442"/>
        </patternFill>
      </fill>
    </dxf>
    <dxf>
      <font>
        <color rgb="FFFFC000"/>
      </font>
      <fill>
        <patternFill>
          <bgColor rgb="FFFFFF99"/>
        </patternFill>
      </fill>
    </dxf>
    <dxf>
      <font>
        <color theme="3"/>
      </font>
      <fill>
        <patternFill>
          <bgColor theme="8" tint="0.39994506668294322"/>
        </patternFill>
      </fill>
    </dxf>
    <dxf>
      <font>
        <color rgb="FFFF0000"/>
      </font>
      <fill>
        <patternFill>
          <bgColor theme="5" tint="0.79998168889431442"/>
        </patternFill>
      </fill>
    </dxf>
    <dxf>
      <font>
        <color rgb="FFFF0000"/>
      </font>
      <fill>
        <patternFill>
          <bgColor rgb="FFFFFF99"/>
        </patternFill>
      </fill>
    </dxf>
    <dxf>
      <font>
        <color theme="3"/>
      </font>
      <fill>
        <patternFill>
          <bgColor theme="8" tint="0.39994506668294322"/>
        </patternFill>
      </fill>
    </dxf>
    <dxf>
      <font>
        <color rgb="FFFF0000"/>
      </font>
      <fill>
        <patternFill>
          <bgColor theme="5" tint="0.79998168889431442"/>
        </patternFill>
      </fill>
    </dxf>
    <dxf>
      <font>
        <color rgb="FFFF9966"/>
      </font>
      <fill>
        <patternFill>
          <bgColor rgb="FFFFFF99"/>
        </patternFill>
      </fill>
    </dxf>
    <dxf>
      <font>
        <color theme="3"/>
      </font>
      <fill>
        <patternFill>
          <bgColor theme="8" tint="0.39994506668294322"/>
        </patternFill>
      </fill>
    </dxf>
    <dxf>
      <font>
        <color rgb="FFFF0000"/>
      </font>
      <fill>
        <patternFill>
          <bgColor theme="5" tint="0.79998168889431442"/>
        </patternFill>
      </fill>
    </dxf>
    <dxf>
      <font>
        <color rgb="FFFF9966"/>
      </font>
      <fill>
        <patternFill>
          <bgColor rgb="FFFFFF99"/>
        </patternFill>
      </fill>
    </dxf>
    <dxf>
      <font>
        <color theme="3"/>
      </font>
      <fill>
        <patternFill>
          <bgColor theme="8" tint="0.39994506668294322"/>
        </patternFill>
      </fill>
    </dxf>
    <dxf>
      <font>
        <color rgb="FFFF0000"/>
      </font>
      <fill>
        <patternFill>
          <bgColor theme="5" tint="0.79998168889431442"/>
        </patternFill>
      </fill>
    </dxf>
    <dxf>
      <font>
        <color rgb="FFFF9966"/>
      </font>
      <fill>
        <patternFill>
          <bgColor rgb="FFFFFF99"/>
        </patternFill>
      </fill>
    </dxf>
    <dxf>
      <font>
        <color theme="3"/>
      </font>
      <fill>
        <patternFill>
          <bgColor theme="8" tint="0.39994506668294322"/>
        </patternFill>
      </fill>
    </dxf>
    <dxf>
      <font>
        <color rgb="FFFF9966"/>
      </font>
      <fill>
        <patternFill>
          <bgColor rgb="FFFFFF99"/>
        </patternFill>
      </fill>
    </dxf>
    <dxf>
      <font>
        <color theme="3"/>
      </font>
      <fill>
        <patternFill>
          <fgColor theme="0"/>
          <bgColor theme="8" tint="0.39994506668294322"/>
        </patternFill>
      </fill>
    </dxf>
    <dxf>
      <font>
        <color rgb="FFFF9966"/>
      </font>
      <fill>
        <patternFill>
          <bgColor rgb="FFFFFF99"/>
        </patternFill>
      </fill>
    </dxf>
    <dxf>
      <font>
        <color rgb="FFFF0000"/>
      </font>
      <fill>
        <patternFill>
          <bgColor theme="5" tint="0.79998168889431442"/>
        </patternFill>
      </fill>
    </dxf>
    <dxf>
      <font>
        <color rgb="FFFF0000"/>
      </font>
      <fill>
        <patternFill>
          <bgColor theme="5" tint="0.79998168889431442"/>
        </patternFill>
      </fill>
    </dxf>
  </dxfs>
  <tableStyles count="0" defaultTableStyle="TableStyleMedium2" defaultPivotStyle="PivotStyleLight16"/>
  <colors>
    <mruColors>
      <color rgb="FFFF9933"/>
      <color rgb="FFFF9797"/>
      <color rgb="FF00FFCC"/>
      <color rgb="FFFF66FF"/>
      <color rgb="FF3366FF"/>
      <color rgb="FF669900"/>
      <color rgb="FF00CC66"/>
      <color rgb="FFA86ED4"/>
      <color rgb="FFFFFF99"/>
      <color rgb="FF007A3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CA" sz="2800" b="1" i="1" u="sng"/>
              <a:t>Minutes</a:t>
            </a:r>
            <a:r>
              <a:rPr lang="fr-CA" sz="2800" b="1" i="1" u="sng" baseline="0"/>
              <a:t> consacrées aux études par jours</a:t>
            </a:r>
          </a:p>
        </c:rich>
      </c:tx>
      <c:layout>
        <c:manualLayout>
          <c:xMode val="edge"/>
          <c:yMode val="edge"/>
          <c:x val="0.28001742232821708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5.7770863219615304E-2"/>
          <c:y val="7.632636318546715E-2"/>
          <c:w val="0.92156888839599271"/>
          <c:h val="0.84908845250171661"/>
        </c:manualLayout>
      </c:layout>
      <c:bar3DChart>
        <c:barDir val="col"/>
        <c:grouping val="clustered"/>
        <c:varyColors val="0"/>
        <c:ser>
          <c:idx val="0"/>
          <c:order val="0"/>
          <c:spPr>
            <a:gradFill flip="none" rotWithShape="1">
              <a:gsLst>
                <a:gs pos="0">
                  <a:srgbClr val="FF9933">
                    <a:tint val="66000"/>
                    <a:satMod val="160000"/>
                  </a:srgbClr>
                </a:gs>
                <a:gs pos="50000">
                  <a:srgbClr val="FF9933">
                    <a:tint val="44500"/>
                    <a:satMod val="160000"/>
                  </a:srgbClr>
                </a:gs>
                <a:gs pos="100000">
                  <a:srgbClr val="FF9933">
                    <a:tint val="23500"/>
                    <a:satMod val="160000"/>
                  </a:srgbClr>
                </a:gs>
              </a:gsLst>
              <a:lin ang="8100000" scaled="1"/>
              <a:tileRect/>
            </a:gradFill>
            <a:ln>
              <a:solidFill>
                <a:schemeClr val="accent1"/>
              </a:solidFill>
            </a:ln>
            <a:effectLst/>
            <a:scene3d>
              <a:camera prst="orthographicFront"/>
              <a:lightRig rig="threePt" dir="t"/>
            </a:scene3d>
            <a:sp3d>
              <a:bevelT prst="slope"/>
              <a:bevelB/>
              <a:contourClr>
                <a:schemeClr val="accent1"/>
              </a:contourClr>
            </a:sp3d>
          </c:spPr>
          <c:invertIfNegative val="0"/>
          <c:cat>
            <c:strRef>
              <c:f>Présentation!$N$150:$T$150</c:f>
              <c:strCache>
                <c:ptCount val="7"/>
                <c:pt idx="0">
                  <c:v>Lundi</c:v>
                </c:pt>
                <c:pt idx="1">
                  <c:v>Mardi</c:v>
                </c:pt>
                <c:pt idx="2">
                  <c:v>Mercredi</c:v>
                </c:pt>
                <c:pt idx="3">
                  <c:v>Jeudi</c:v>
                </c:pt>
                <c:pt idx="4">
                  <c:v>Vendred</c:v>
                </c:pt>
                <c:pt idx="5">
                  <c:v>Samedi</c:v>
                </c:pt>
                <c:pt idx="6">
                  <c:v>Dimanche</c:v>
                </c:pt>
              </c:strCache>
            </c:strRef>
          </c:cat>
          <c:val>
            <c:numRef>
              <c:f>Présentation!$N$162:$T$162</c:f>
              <c:numCache>
                <c:formatCode>General</c:formatCode>
                <c:ptCount val="7"/>
                <c:pt idx="0">
                  <c:v>55</c:v>
                </c:pt>
                <c:pt idx="1">
                  <c:v>220</c:v>
                </c:pt>
                <c:pt idx="2">
                  <c:v>165</c:v>
                </c:pt>
                <c:pt idx="3">
                  <c:v>0</c:v>
                </c:pt>
                <c:pt idx="4">
                  <c:v>275</c:v>
                </c:pt>
                <c:pt idx="5">
                  <c:v>0</c:v>
                </c:pt>
                <c:pt idx="6">
                  <c:v>110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546-4EF1-AEA8-B802753B74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289959279"/>
        <c:axId val="1449026063"/>
        <c:axId val="0"/>
      </c:bar3DChart>
      <c:catAx>
        <c:axId val="12899592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49026063"/>
        <c:crosses val="autoZero"/>
        <c:auto val="1"/>
        <c:lblAlgn val="ctr"/>
        <c:lblOffset val="100"/>
        <c:noMultiLvlLbl val="0"/>
      </c:catAx>
      <c:valAx>
        <c:axId val="14490260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28995927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528204</xdr:colOff>
      <xdr:row>20</xdr:row>
      <xdr:rowOff>34636</xdr:rowOff>
    </xdr:from>
    <xdr:to>
      <xdr:col>21</xdr:col>
      <xdr:colOff>2234045</xdr:colOff>
      <xdr:row>54</xdr:row>
      <xdr:rowOff>61850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BC31EFA6-A4BF-47E2-8651-64FFBA87269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8"/>
  <sheetViews>
    <sheetView showGridLines="0" topLeftCell="A7" workbookViewId="0">
      <selection activeCell="K41" sqref="K41"/>
    </sheetView>
  </sheetViews>
  <sheetFormatPr baseColWidth="10" defaultColWidth="11.5703125" defaultRowHeight="11.25" x14ac:dyDescent="0.2"/>
  <cols>
    <col min="1" max="1" width="0.7109375" style="1" customWidth="1"/>
    <col min="2" max="2" width="4" style="1" customWidth="1"/>
    <col min="3" max="3" width="17.28515625" style="1" customWidth="1"/>
    <col min="4" max="5" width="29.7109375" style="1" customWidth="1"/>
    <col min="6" max="6" width="11.5703125" style="1"/>
    <col min="7" max="7" width="5.140625" style="1" customWidth="1"/>
    <col min="8" max="8" width="0.5703125" style="1" customWidth="1"/>
    <col min="9" max="9" width="11.140625" style="1" customWidth="1"/>
    <col min="10" max="10" width="13.7109375" style="1" customWidth="1"/>
    <col min="11" max="11" width="10.5703125" style="1" customWidth="1"/>
    <col min="12" max="12" width="28.42578125" style="1" customWidth="1"/>
    <col min="13" max="16384" width="11.5703125" style="1"/>
  </cols>
  <sheetData>
    <row r="1" spans="2:18" ht="3.75" customHeight="1" x14ac:dyDescent="0.2"/>
    <row r="2" spans="2:18" ht="45" customHeight="1" x14ac:dyDescent="0.2">
      <c r="C2" s="71" t="s">
        <v>154</v>
      </c>
      <c r="D2" s="71"/>
      <c r="E2" s="71"/>
      <c r="F2" s="71"/>
      <c r="G2" s="71"/>
      <c r="H2" s="71"/>
      <c r="I2" s="71"/>
      <c r="J2" s="71"/>
      <c r="K2" s="71"/>
    </row>
    <row r="3" spans="2:18" ht="13.5" customHeight="1" x14ac:dyDescent="0.25"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4"/>
      <c r="N3" s="4"/>
      <c r="O3" s="4"/>
      <c r="P3" s="4"/>
      <c r="Q3" s="4"/>
      <c r="R3" s="4"/>
    </row>
    <row r="4" spans="2:18" ht="15" x14ac:dyDescent="0.25">
      <c r="B4" s="20"/>
      <c r="C4" s="48" t="s">
        <v>0</v>
      </c>
      <c r="D4" s="47" t="s">
        <v>1</v>
      </c>
      <c r="E4" s="47" t="s">
        <v>2</v>
      </c>
      <c r="F4" s="49" t="s">
        <v>141</v>
      </c>
      <c r="G4" s="21"/>
      <c r="H4" s="19"/>
      <c r="I4" s="43" t="s">
        <v>116</v>
      </c>
      <c r="J4" s="44"/>
      <c r="K4" s="21"/>
      <c r="L4" s="19"/>
      <c r="N4" s="4"/>
      <c r="O4" s="4"/>
      <c r="P4" s="4"/>
      <c r="Q4" s="4"/>
      <c r="R4" s="4"/>
    </row>
    <row r="5" spans="2:18" ht="15" x14ac:dyDescent="0.25">
      <c r="B5" s="69" t="s">
        <v>4</v>
      </c>
      <c r="C5" s="22" t="s">
        <v>5</v>
      </c>
      <c r="D5" s="23" t="s">
        <v>6</v>
      </c>
      <c r="E5" s="23" t="s">
        <v>7</v>
      </c>
      <c r="F5" s="24">
        <v>4</v>
      </c>
      <c r="G5" s="21"/>
      <c r="H5" s="19"/>
      <c r="I5" s="25">
        <v>1</v>
      </c>
      <c r="J5" s="24" t="s">
        <v>122</v>
      </c>
      <c r="K5" s="21"/>
      <c r="L5" s="19"/>
      <c r="N5" s="4"/>
      <c r="O5" s="4"/>
      <c r="P5" s="4"/>
      <c r="Q5" s="4"/>
      <c r="R5" s="4"/>
    </row>
    <row r="6" spans="2:18" ht="15" x14ac:dyDescent="0.25">
      <c r="B6" s="69"/>
      <c r="C6" s="50" t="s">
        <v>8</v>
      </c>
      <c r="D6" s="51" t="s">
        <v>9</v>
      </c>
      <c r="E6" s="51" t="s">
        <v>10</v>
      </c>
      <c r="F6" s="52">
        <v>3</v>
      </c>
      <c r="G6" s="21"/>
      <c r="H6" s="19"/>
      <c r="I6" s="66">
        <v>2</v>
      </c>
      <c r="J6" s="55" t="s">
        <v>123</v>
      </c>
      <c r="K6" s="21"/>
      <c r="L6" s="19"/>
      <c r="N6" s="4"/>
      <c r="O6" s="4"/>
      <c r="P6" s="4"/>
      <c r="Q6" s="4"/>
      <c r="R6" s="4"/>
    </row>
    <row r="7" spans="2:18" ht="15" x14ac:dyDescent="0.25">
      <c r="B7" s="69"/>
      <c r="C7" s="26" t="s">
        <v>11</v>
      </c>
      <c r="D7" s="27" t="s">
        <v>12</v>
      </c>
      <c r="E7" s="27" t="s">
        <v>13</v>
      </c>
      <c r="F7" s="24">
        <v>2</v>
      </c>
      <c r="G7" s="21"/>
      <c r="H7" s="19"/>
      <c r="I7" s="25">
        <v>3</v>
      </c>
      <c r="J7" s="24" t="s">
        <v>124</v>
      </c>
      <c r="K7" s="21"/>
      <c r="L7" s="19"/>
      <c r="N7" s="4"/>
      <c r="O7" s="4"/>
      <c r="P7" s="4"/>
      <c r="Q7" s="4"/>
      <c r="R7" s="4"/>
    </row>
    <row r="8" spans="2:18" ht="15" x14ac:dyDescent="0.25">
      <c r="B8" s="69"/>
      <c r="C8" s="53" t="s">
        <v>14</v>
      </c>
      <c r="D8" s="54" t="s">
        <v>15</v>
      </c>
      <c r="E8" s="54" t="s">
        <v>16</v>
      </c>
      <c r="F8" s="55">
        <v>3</v>
      </c>
      <c r="G8" s="21"/>
      <c r="H8" s="19"/>
      <c r="I8" s="66">
        <v>4</v>
      </c>
      <c r="J8" s="55" t="s">
        <v>125</v>
      </c>
      <c r="K8" s="21"/>
      <c r="L8" s="21"/>
      <c r="M8" s="5"/>
      <c r="N8" s="70"/>
      <c r="O8" s="4"/>
      <c r="P8" s="4"/>
      <c r="Q8" s="4"/>
      <c r="R8" s="4"/>
    </row>
    <row r="9" spans="2:18" ht="15" x14ac:dyDescent="0.25">
      <c r="B9" s="69"/>
      <c r="C9" s="26" t="s">
        <v>17</v>
      </c>
      <c r="D9" s="27" t="s">
        <v>18</v>
      </c>
      <c r="E9" s="27" t="s">
        <v>18</v>
      </c>
      <c r="F9" s="24">
        <v>5</v>
      </c>
      <c r="G9" s="21"/>
      <c r="H9" s="19"/>
      <c r="I9" s="25">
        <v>5</v>
      </c>
      <c r="J9" s="24" t="s">
        <v>126</v>
      </c>
      <c r="K9" s="21"/>
      <c r="L9" s="21"/>
      <c r="M9" s="5"/>
      <c r="N9" s="4"/>
      <c r="O9" s="4"/>
      <c r="P9" s="4"/>
      <c r="Q9" s="4"/>
      <c r="R9" s="4"/>
    </row>
    <row r="10" spans="2:18" ht="15" x14ac:dyDescent="0.25">
      <c r="B10" s="69"/>
      <c r="C10" s="53" t="s">
        <v>19</v>
      </c>
      <c r="D10" s="54" t="s">
        <v>20</v>
      </c>
      <c r="E10" s="54" t="s">
        <v>21</v>
      </c>
      <c r="F10" s="55">
        <v>6</v>
      </c>
      <c r="G10" s="21"/>
      <c r="H10" s="19"/>
      <c r="I10" s="66">
        <v>6</v>
      </c>
      <c r="J10" s="55" t="s">
        <v>127</v>
      </c>
      <c r="K10" s="21"/>
      <c r="L10" s="21"/>
      <c r="M10" s="5"/>
      <c r="N10" s="4"/>
      <c r="O10" s="4"/>
      <c r="P10" s="4"/>
      <c r="Q10" s="4"/>
      <c r="R10" s="4"/>
    </row>
    <row r="11" spans="2:18" ht="15" x14ac:dyDescent="0.25">
      <c r="B11" s="69"/>
      <c r="C11" s="26" t="s">
        <v>22</v>
      </c>
      <c r="D11" s="27" t="s">
        <v>23</v>
      </c>
      <c r="E11" s="27" t="s">
        <v>24</v>
      </c>
      <c r="F11" s="24">
        <v>6</v>
      </c>
      <c r="G11" s="21"/>
      <c r="H11" s="19"/>
      <c r="I11" s="28">
        <v>7</v>
      </c>
      <c r="J11" s="20" t="s">
        <v>121</v>
      </c>
      <c r="K11" s="21"/>
      <c r="L11" s="96"/>
      <c r="M11" s="5"/>
      <c r="N11" s="4"/>
      <c r="O11" s="4"/>
      <c r="P11" s="4"/>
      <c r="Q11" s="4"/>
      <c r="R11" s="4"/>
    </row>
    <row r="12" spans="2:18" ht="15" x14ac:dyDescent="0.25">
      <c r="B12" s="69" t="s">
        <v>25</v>
      </c>
      <c r="C12" s="56" t="s">
        <v>26</v>
      </c>
      <c r="D12" s="57" t="s">
        <v>27</v>
      </c>
      <c r="E12" s="57" t="s">
        <v>28</v>
      </c>
      <c r="F12" s="58">
        <v>4</v>
      </c>
      <c r="G12" s="21"/>
      <c r="H12" s="21"/>
      <c r="I12" s="19"/>
      <c r="J12" s="19"/>
      <c r="K12" s="19"/>
      <c r="L12" s="97"/>
      <c r="M12" s="5"/>
      <c r="N12" s="4"/>
      <c r="O12" s="4"/>
      <c r="P12" s="4"/>
      <c r="Q12" s="4"/>
      <c r="R12" s="4"/>
    </row>
    <row r="13" spans="2:18" ht="15" x14ac:dyDescent="0.25">
      <c r="B13" s="69"/>
      <c r="C13" s="26" t="s">
        <v>29</v>
      </c>
      <c r="D13" s="27" t="s">
        <v>30</v>
      </c>
      <c r="E13" s="27" t="s">
        <v>31</v>
      </c>
      <c r="F13" s="24">
        <v>4</v>
      </c>
      <c r="G13" s="21"/>
      <c r="H13" s="21"/>
      <c r="I13" s="21"/>
      <c r="J13" s="21"/>
      <c r="K13" s="19"/>
      <c r="L13" s="98"/>
      <c r="M13" s="5"/>
      <c r="N13" s="4"/>
      <c r="O13" s="4"/>
      <c r="P13" s="4"/>
      <c r="Q13" s="4"/>
      <c r="R13" s="4"/>
    </row>
    <row r="14" spans="2:18" ht="15" x14ac:dyDescent="0.25">
      <c r="B14" s="69"/>
      <c r="C14" s="53" t="s">
        <v>32</v>
      </c>
      <c r="D14" s="54" t="s">
        <v>33</v>
      </c>
      <c r="E14" s="54" t="s">
        <v>34</v>
      </c>
      <c r="F14" s="55">
        <v>3</v>
      </c>
      <c r="G14" s="21"/>
      <c r="H14" s="19"/>
      <c r="I14" s="45" t="s">
        <v>117</v>
      </c>
      <c r="J14" s="21"/>
      <c r="K14" s="19"/>
      <c r="L14" s="97"/>
      <c r="M14" s="5"/>
      <c r="N14" s="4"/>
      <c r="O14" s="4"/>
      <c r="P14" s="4"/>
      <c r="Q14" s="4"/>
      <c r="R14" s="4"/>
    </row>
    <row r="15" spans="2:18" ht="15" x14ac:dyDescent="0.25">
      <c r="B15" s="69"/>
      <c r="C15" s="26" t="s">
        <v>35</v>
      </c>
      <c r="D15" s="27" t="s">
        <v>36</v>
      </c>
      <c r="E15" s="27" t="s">
        <v>37</v>
      </c>
      <c r="F15" s="24">
        <v>2</v>
      </c>
      <c r="G15" s="21"/>
      <c r="H15" s="19"/>
      <c r="I15" s="26" t="s">
        <v>128</v>
      </c>
      <c r="J15" s="21"/>
      <c r="K15" s="19"/>
      <c r="L15" s="97"/>
      <c r="M15" s="5"/>
      <c r="N15" s="4"/>
      <c r="O15" s="4"/>
      <c r="P15" s="4"/>
      <c r="Q15" s="4"/>
      <c r="R15" s="4"/>
    </row>
    <row r="16" spans="2:18" ht="15" x14ac:dyDescent="0.25">
      <c r="B16" s="69"/>
      <c r="C16" s="53" t="s">
        <v>38</v>
      </c>
      <c r="D16" s="54" t="s">
        <v>39</v>
      </c>
      <c r="E16" s="54" t="s">
        <v>40</v>
      </c>
      <c r="F16" s="55">
        <v>4</v>
      </c>
      <c r="G16" s="21"/>
      <c r="H16" s="19"/>
      <c r="I16" s="53" t="s">
        <v>129</v>
      </c>
      <c r="J16" s="21"/>
      <c r="K16" s="19"/>
      <c r="L16" s="97"/>
      <c r="M16" s="5"/>
      <c r="N16" s="4"/>
      <c r="O16" s="4"/>
      <c r="P16" s="4"/>
      <c r="Q16" s="4"/>
      <c r="R16" s="4"/>
    </row>
    <row r="17" spans="2:18" ht="15" x14ac:dyDescent="0.25">
      <c r="B17" s="69"/>
      <c r="C17" s="26" t="s">
        <v>41</v>
      </c>
      <c r="D17" s="27" t="s">
        <v>42</v>
      </c>
      <c r="E17" s="27" t="s">
        <v>43</v>
      </c>
      <c r="F17" s="24">
        <v>6</v>
      </c>
      <c r="G17" s="21"/>
      <c r="H17" s="19"/>
      <c r="I17" s="26" t="s">
        <v>130</v>
      </c>
      <c r="J17" s="21"/>
      <c r="K17" s="19"/>
      <c r="L17" s="97"/>
      <c r="M17" s="5"/>
      <c r="N17" s="4"/>
      <c r="O17" s="4"/>
      <c r="P17" s="4"/>
      <c r="Q17" s="4"/>
      <c r="R17" s="4"/>
    </row>
    <row r="18" spans="2:18" ht="15" x14ac:dyDescent="0.25">
      <c r="B18" s="69"/>
      <c r="C18" s="59" t="s">
        <v>153</v>
      </c>
      <c r="D18" s="60" t="s">
        <v>44</v>
      </c>
      <c r="E18" s="60" t="s">
        <v>45</v>
      </c>
      <c r="F18" s="61">
        <v>6</v>
      </c>
      <c r="G18" s="21"/>
      <c r="H18" s="19"/>
      <c r="I18" s="53" t="s">
        <v>131</v>
      </c>
      <c r="J18" s="21"/>
      <c r="K18" s="19"/>
      <c r="L18" s="97"/>
      <c r="M18" s="5"/>
      <c r="N18" s="4"/>
      <c r="O18" s="4"/>
      <c r="P18" s="4"/>
      <c r="Q18" s="4"/>
      <c r="R18" s="4"/>
    </row>
    <row r="19" spans="2:18" ht="15" x14ac:dyDescent="0.25">
      <c r="B19" s="69" t="s">
        <v>46</v>
      </c>
      <c r="C19" s="22" t="s">
        <v>152</v>
      </c>
      <c r="D19" s="23" t="s">
        <v>47</v>
      </c>
      <c r="E19" s="23" t="s">
        <v>47</v>
      </c>
      <c r="F19" s="29">
        <v>3</v>
      </c>
      <c r="G19" s="21"/>
      <c r="H19" s="19"/>
      <c r="I19" s="26" t="s">
        <v>132</v>
      </c>
      <c r="J19" s="21"/>
      <c r="K19" s="19"/>
      <c r="L19" s="97"/>
      <c r="M19" s="5"/>
      <c r="N19" s="4"/>
      <c r="O19" s="4"/>
      <c r="P19" s="4"/>
      <c r="Q19" s="4"/>
      <c r="R19" s="4"/>
    </row>
    <row r="20" spans="2:18" ht="15" x14ac:dyDescent="0.25">
      <c r="B20" s="69"/>
      <c r="C20" s="53" t="s">
        <v>48</v>
      </c>
      <c r="D20" s="54" t="s">
        <v>49</v>
      </c>
      <c r="E20" s="54" t="s">
        <v>49</v>
      </c>
      <c r="F20" s="55">
        <v>4</v>
      </c>
      <c r="G20" s="21"/>
      <c r="H20" s="19"/>
      <c r="I20" s="53" t="s">
        <v>133</v>
      </c>
      <c r="J20" s="21"/>
      <c r="K20" s="21"/>
      <c r="L20" s="21"/>
      <c r="M20" s="5"/>
      <c r="N20" s="4"/>
      <c r="O20" s="4"/>
      <c r="P20" s="4"/>
      <c r="Q20" s="4"/>
      <c r="R20" s="4"/>
    </row>
    <row r="21" spans="2:18" ht="15" x14ac:dyDescent="0.25">
      <c r="B21" s="69"/>
      <c r="C21" s="26" t="s">
        <v>50</v>
      </c>
      <c r="D21" s="27" t="s">
        <v>51</v>
      </c>
      <c r="E21" s="27" t="s">
        <v>52</v>
      </c>
      <c r="F21" s="24">
        <v>2</v>
      </c>
      <c r="G21" s="21"/>
      <c r="H21" s="19"/>
      <c r="I21" s="30" t="s">
        <v>134</v>
      </c>
      <c r="J21" s="21"/>
      <c r="K21" s="21"/>
      <c r="L21" s="21"/>
      <c r="M21" s="5"/>
      <c r="N21" s="4"/>
      <c r="O21" s="4"/>
      <c r="P21" s="4"/>
      <c r="Q21" s="4"/>
      <c r="R21" s="4"/>
    </row>
    <row r="22" spans="2:18" ht="15" x14ac:dyDescent="0.2">
      <c r="B22" s="69"/>
      <c r="C22" s="53" t="s">
        <v>53</v>
      </c>
      <c r="D22" s="54" t="s">
        <v>54</v>
      </c>
      <c r="E22" s="54" t="s">
        <v>55</v>
      </c>
      <c r="F22" s="55">
        <v>3</v>
      </c>
      <c r="G22" s="21"/>
      <c r="H22" s="21"/>
      <c r="I22" s="21"/>
      <c r="J22" s="21"/>
      <c r="K22" s="21"/>
      <c r="L22" s="21"/>
      <c r="M22" s="5"/>
      <c r="N22" s="4"/>
      <c r="O22" s="4"/>
      <c r="P22" s="4"/>
      <c r="Q22" s="4"/>
      <c r="R22" s="4"/>
    </row>
    <row r="23" spans="2:18" ht="15" x14ac:dyDescent="0.25">
      <c r="B23" s="69"/>
      <c r="C23" s="26" t="s">
        <v>56</v>
      </c>
      <c r="D23" s="27" t="s">
        <v>57</v>
      </c>
      <c r="E23" s="27" t="s">
        <v>57</v>
      </c>
      <c r="F23" s="24">
        <v>6</v>
      </c>
      <c r="G23" s="21"/>
      <c r="H23" s="21"/>
      <c r="I23" s="19"/>
      <c r="J23" s="19"/>
      <c r="K23" s="19"/>
      <c r="L23" s="19"/>
      <c r="O23" s="4"/>
      <c r="P23" s="4"/>
      <c r="Q23" s="4"/>
      <c r="R23" s="4"/>
    </row>
    <row r="24" spans="2:18" ht="15" x14ac:dyDescent="0.25">
      <c r="B24" s="69"/>
      <c r="C24" s="53" t="s">
        <v>58</v>
      </c>
      <c r="D24" s="54" t="s">
        <v>59</v>
      </c>
      <c r="E24" s="54" t="s">
        <v>60</v>
      </c>
      <c r="F24" s="55">
        <v>5</v>
      </c>
      <c r="G24" s="21"/>
      <c r="H24" s="19"/>
      <c r="I24" s="43" t="s">
        <v>115</v>
      </c>
      <c r="J24" s="46"/>
      <c r="K24" s="44"/>
      <c r="L24" s="19"/>
      <c r="O24" s="4"/>
      <c r="P24" s="4"/>
      <c r="Q24" s="4"/>
      <c r="R24" s="4"/>
    </row>
    <row r="25" spans="2:18" ht="15" x14ac:dyDescent="0.25">
      <c r="B25" s="69"/>
      <c r="C25" s="30" t="s">
        <v>61</v>
      </c>
      <c r="D25" s="31" t="s">
        <v>62</v>
      </c>
      <c r="E25" s="31" t="s">
        <v>63</v>
      </c>
      <c r="F25" s="20">
        <v>6</v>
      </c>
      <c r="G25" s="21"/>
      <c r="H25" s="19"/>
      <c r="I25" s="25">
        <v>1</v>
      </c>
      <c r="J25" s="32">
        <f>K39</f>
        <v>0.33333333333333331</v>
      </c>
      <c r="K25" s="33">
        <f>J25+$K$40</f>
        <v>0.36805555555555552</v>
      </c>
      <c r="L25" s="19"/>
      <c r="O25" s="4"/>
      <c r="P25" s="4"/>
      <c r="Q25" s="4"/>
      <c r="R25" s="4"/>
    </row>
    <row r="26" spans="2:18" ht="15" x14ac:dyDescent="0.25">
      <c r="B26" s="69" t="s">
        <v>64</v>
      </c>
      <c r="C26" s="56" t="s">
        <v>65</v>
      </c>
      <c r="D26" s="57" t="s">
        <v>66</v>
      </c>
      <c r="E26" s="57" t="s">
        <v>66</v>
      </c>
      <c r="F26" s="58">
        <v>3</v>
      </c>
      <c r="G26" s="21"/>
      <c r="H26" s="19"/>
      <c r="I26" s="66">
        <v>2</v>
      </c>
      <c r="J26" s="67">
        <f>$K$40+$K$41+J25</f>
        <v>0.37152777777777779</v>
      </c>
      <c r="K26" s="68">
        <f>J26+$K$40</f>
        <v>0.40625</v>
      </c>
      <c r="L26" s="19"/>
      <c r="O26" s="4"/>
      <c r="P26" s="4"/>
      <c r="Q26" s="4"/>
      <c r="R26" s="4"/>
    </row>
    <row r="27" spans="2:18" ht="15" x14ac:dyDescent="0.25">
      <c r="B27" s="69"/>
      <c r="C27" s="26" t="s">
        <v>67</v>
      </c>
      <c r="D27" s="27" t="s">
        <v>68</v>
      </c>
      <c r="E27" s="27" t="s">
        <v>69</v>
      </c>
      <c r="F27" s="24">
        <v>4</v>
      </c>
      <c r="G27" s="21"/>
      <c r="H27" s="19"/>
      <c r="I27" s="25">
        <v>3</v>
      </c>
      <c r="J27" s="32">
        <f>$K$40+$K$41+J26</f>
        <v>0.40972222222222221</v>
      </c>
      <c r="K27" s="33">
        <f>J27+$K$40</f>
        <v>0.44444444444444442</v>
      </c>
      <c r="L27" s="19"/>
      <c r="O27" s="4"/>
      <c r="P27" s="4"/>
      <c r="Q27" s="4"/>
      <c r="R27" s="4"/>
    </row>
    <row r="28" spans="2:18" ht="15" x14ac:dyDescent="0.25">
      <c r="B28" s="69"/>
      <c r="C28" s="53" t="s">
        <v>70</v>
      </c>
      <c r="D28" s="54" t="s">
        <v>71</v>
      </c>
      <c r="E28" s="54" t="s">
        <v>72</v>
      </c>
      <c r="F28" s="55">
        <v>3</v>
      </c>
      <c r="G28" s="21"/>
      <c r="H28" s="19"/>
      <c r="I28" s="66">
        <v>4</v>
      </c>
      <c r="J28" s="67">
        <f>$K$40+$K$41+J27</f>
        <v>0.44791666666666663</v>
      </c>
      <c r="K28" s="68">
        <f>J28+$K$40</f>
        <v>0.48263888888888884</v>
      </c>
      <c r="L28" s="19"/>
      <c r="O28" s="4"/>
      <c r="P28" s="4"/>
      <c r="Q28" s="4"/>
      <c r="R28" s="4"/>
    </row>
    <row r="29" spans="2:18" ht="15" x14ac:dyDescent="0.25">
      <c r="B29" s="69"/>
      <c r="C29" s="26" t="s">
        <v>73</v>
      </c>
      <c r="D29" s="27" t="s">
        <v>74</v>
      </c>
      <c r="E29" s="27" t="s">
        <v>75</v>
      </c>
      <c r="F29" s="24">
        <v>3</v>
      </c>
      <c r="G29" s="21"/>
      <c r="H29" s="19"/>
      <c r="I29" s="25">
        <v>5</v>
      </c>
      <c r="J29" s="32">
        <f>$K$40+$K$41+J28</f>
        <v>0.48611111111111105</v>
      </c>
      <c r="K29" s="33">
        <f>J29+$K$40</f>
        <v>0.52083333333333326</v>
      </c>
      <c r="L29" s="19"/>
      <c r="O29" s="4"/>
      <c r="P29" s="4"/>
      <c r="Q29" s="4"/>
      <c r="R29" s="4"/>
    </row>
    <row r="30" spans="2:18" ht="15" x14ac:dyDescent="0.25">
      <c r="B30" s="69"/>
      <c r="C30" s="53" t="s">
        <v>76</v>
      </c>
      <c r="D30" s="54" t="s">
        <v>77</v>
      </c>
      <c r="E30" s="54" t="s">
        <v>78</v>
      </c>
      <c r="F30" s="55">
        <v>5</v>
      </c>
      <c r="G30" s="21"/>
      <c r="H30" s="19"/>
      <c r="I30" s="66">
        <v>6</v>
      </c>
      <c r="J30" s="67">
        <f>$K$40+$K$41+J29</f>
        <v>0.52430555555555547</v>
      </c>
      <c r="K30" s="68">
        <f>J30+$K$40</f>
        <v>0.55902777777777768</v>
      </c>
      <c r="L30" s="19"/>
      <c r="O30" s="4"/>
      <c r="P30" s="4"/>
      <c r="Q30" s="4"/>
      <c r="R30" s="4"/>
    </row>
    <row r="31" spans="2:18" ht="15" x14ac:dyDescent="0.25">
      <c r="B31" s="69"/>
      <c r="C31" s="26" t="s">
        <v>79</v>
      </c>
      <c r="D31" s="27" t="s">
        <v>80</v>
      </c>
      <c r="E31" s="27" t="s">
        <v>81</v>
      </c>
      <c r="F31" s="24">
        <v>5</v>
      </c>
      <c r="G31" s="21"/>
      <c r="H31" s="19"/>
      <c r="I31" s="25">
        <v>7</v>
      </c>
      <c r="J31" s="32">
        <f>$K$40+$K$41+J30</f>
        <v>0.56249999999999989</v>
      </c>
      <c r="K31" s="33">
        <f>J31+$K$40</f>
        <v>0.5972222222222221</v>
      </c>
      <c r="L31" s="19"/>
      <c r="O31" s="4"/>
      <c r="P31" s="4"/>
      <c r="Q31" s="4"/>
      <c r="R31" s="4"/>
    </row>
    <row r="32" spans="2:18" ht="15" x14ac:dyDescent="0.25">
      <c r="B32" s="69"/>
      <c r="C32" s="62" t="s">
        <v>82</v>
      </c>
      <c r="D32" s="60" t="s">
        <v>83</v>
      </c>
      <c r="E32" s="60" t="s">
        <v>84</v>
      </c>
      <c r="F32" s="61">
        <v>6</v>
      </c>
      <c r="G32" s="21"/>
      <c r="H32" s="19"/>
      <c r="I32" s="66">
        <v>8</v>
      </c>
      <c r="J32" s="67">
        <f>$K$40+$K$41+J31</f>
        <v>0.60069444444444431</v>
      </c>
      <c r="K32" s="68">
        <f>J32+$K$40</f>
        <v>0.63541666666666652</v>
      </c>
      <c r="L32" s="19"/>
      <c r="O32" s="4"/>
      <c r="P32" s="4"/>
      <c r="Q32" s="4"/>
      <c r="R32" s="4"/>
    </row>
    <row r="33" spans="1:18" ht="15" x14ac:dyDescent="0.25">
      <c r="B33" s="69" t="s">
        <v>85</v>
      </c>
      <c r="C33" s="22" t="s">
        <v>86</v>
      </c>
      <c r="D33" s="23" t="s">
        <v>87</v>
      </c>
      <c r="E33" s="23" t="s">
        <v>87</v>
      </c>
      <c r="F33" s="29">
        <v>3</v>
      </c>
      <c r="G33" s="21"/>
      <c r="H33" s="19"/>
      <c r="I33" s="25">
        <v>9</v>
      </c>
      <c r="J33" s="32">
        <f>$K$40+$K$41+J32</f>
        <v>0.63888888888888873</v>
      </c>
      <c r="K33" s="33">
        <f>J33+$K$40</f>
        <v>0.67361111111111094</v>
      </c>
      <c r="L33" s="19"/>
      <c r="O33" s="4"/>
      <c r="P33" s="4"/>
      <c r="Q33" s="4"/>
      <c r="R33" s="4"/>
    </row>
    <row r="34" spans="1:18" ht="15" x14ac:dyDescent="0.25">
      <c r="B34" s="69"/>
      <c r="C34" s="53" t="s">
        <v>88</v>
      </c>
      <c r="D34" s="54" t="s">
        <v>89</v>
      </c>
      <c r="E34" s="54" t="s">
        <v>90</v>
      </c>
      <c r="F34" s="55">
        <v>5</v>
      </c>
      <c r="G34" s="21"/>
      <c r="H34" s="19"/>
      <c r="I34" s="66">
        <v>10</v>
      </c>
      <c r="J34" s="67">
        <f>$K$40+$K$41+J33</f>
        <v>0.67708333333333315</v>
      </c>
      <c r="K34" s="68">
        <f>J34+$K$40</f>
        <v>0.71180555555555536</v>
      </c>
      <c r="L34" s="19"/>
      <c r="O34" s="4"/>
      <c r="P34" s="4"/>
      <c r="Q34" s="4"/>
      <c r="R34" s="4"/>
    </row>
    <row r="35" spans="1:18" ht="15" x14ac:dyDescent="0.25">
      <c r="B35" s="69"/>
      <c r="C35" s="26" t="s">
        <v>91</v>
      </c>
      <c r="D35" s="27" t="s">
        <v>92</v>
      </c>
      <c r="E35" s="27" t="s">
        <v>93</v>
      </c>
      <c r="F35" s="24">
        <v>8</v>
      </c>
      <c r="G35" s="21"/>
      <c r="H35" s="19"/>
      <c r="I35" s="28">
        <v>11</v>
      </c>
      <c r="J35" s="34">
        <f>$K$40+$K$41+J34</f>
        <v>0.71527777777777757</v>
      </c>
      <c r="K35" s="35">
        <f>J35+$K$40</f>
        <v>0.74999999999999978</v>
      </c>
      <c r="L35" s="19"/>
      <c r="O35" s="4"/>
      <c r="P35" s="4"/>
      <c r="Q35" s="4"/>
      <c r="R35" s="4"/>
    </row>
    <row r="36" spans="1:18" ht="15" x14ac:dyDescent="0.25">
      <c r="B36" s="69"/>
      <c r="C36" s="53" t="s">
        <v>94</v>
      </c>
      <c r="D36" s="54" t="s">
        <v>95</v>
      </c>
      <c r="E36" s="54" t="s">
        <v>96</v>
      </c>
      <c r="F36" s="55">
        <v>5</v>
      </c>
      <c r="G36" s="21"/>
      <c r="H36" s="36"/>
      <c r="I36" s="19"/>
      <c r="J36" s="19"/>
      <c r="K36" s="19"/>
      <c r="L36" s="21"/>
      <c r="M36" s="5"/>
      <c r="N36" s="4"/>
      <c r="O36" s="4"/>
      <c r="P36" s="4"/>
      <c r="Q36" s="4"/>
      <c r="R36" s="4"/>
    </row>
    <row r="37" spans="1:18" ht="15" x14ac:dyDescent="0.25">
      <c r="B37" s="69"/>
      <c r="C37" s="26" t="s">
        <v>97</v>
      </c>
      <c r="D37" s="27" t="s">
        <v>98</v>
      </c>
      <c r="E37" s="27" t="s">
        <v>98</v>
      </c>
      <c r="F37" s="24">
        <v>6</v>
      </c>
      <c r="G37" s="21"/>
      <c r="H37" s="36"/>
      <c r="I37" s="19"/>
      <c r="J37" s="19"/>
      <c r="K37" s="19"/>
      <c r="L37" s="21"/>
      <c r="M37" s="5"/>
      <c r="N37" s="4"/>
      <c r="O37" s="4"/>
      <c r="P37" s="4"/>
      <c r="Q37" s="4"/>
      <c r="R37" s="4"/>
    </row>
    <row r="38" spans="1:18" ht="15" x14ac:dyDescent="0.2">
      <c r="B38" s="69"/>
      <c r="C38" s="53" t="s">
        <v>99</v>
      </c>
      <c r="D38" s="54" t="s">
        <v>100</v>
      </c>
      <c r="E38" s="54" t="s">
        <v>101</v>
      </c>
      <c r="F38" s="55">
        <v>3</v>
      </c>
      <c r="G38" s="21"/>
      <c r="H38" s="21"/>
      <c r="I38" s="43" t="s">
        <v>3</v>
      </c>
      <c r="J38" s="46"/>
      <c r="K38" s="44"/>
      <c r="L38" s="21"/>
      <c r="M38" s="5"/>
      <c r="N38" s="4"/>
      <c r="O38" s="4"/>
      <c r="P38" s="4"/>
      <c r="Q38" s="4"/>
      <c r="R38" s="4"/>
    </row>
    <row r="39" spans="1:18" ht="15" x14ac:dyDescent="0.2">
      <c r="B39" s="69" t="s">
        <v>102</v>
      </c>
      <c r="C39" s="22" t="s">
        <v>103</v>
      </c>
      <c r="D39" s="23" t="s">
        <v>104</v>
      </c>
      <c r="E39" s="23" t="s">
        <v>104</v>
      </c>
      <c r="F39" s="29">
        <v>6</v>
      </c>
      <c r="G39" s="21"/>
      <c r="H39" s="21"/>
      <c r="I39" s="37" t="s">
        <v>118</v>
      </c>
      <c r="J39" s="38"/>
      <c r="K39" s="39">
        <v>0.33333333333333331</v>
      </c>
      <c r="L39" s="21"/>
      <c r="M39" s="5"/>
      <c r="N39" s="4"/>
      <c r="O39" s="4"/>
      <c r="P39" s="4"/>
      <c r="Q39" s="4"/>
      <c r="R39" s="4"/>
    </row>
    <row r="40" spans="1:18" ht="15" x14ac:dyDescent="0.2">
      <c r="B40" s="69"/>
      <c r="C40" s="53" t="s">
        <v>105</v>
      </c>
      <c r="D40" s="54" t="s">
        <v>106</v>
      </c>
      <c r="E40" s="54" t="s">
        <v>106</v>
      </c>
      <c r="F40" s="55">
        <v>6</v>
      </c>
      <c r="G40" s="21"/>
      <c r="H40" s="21"/>
      <c r="I40" s="63" t="s">
        <v>119</v>
      </c>
      <c r="J40" s="64"/>
      <c r="K40" s="65">
        <v>3.4722222222222224E-2</v>
      </c>
      <c r="L40" s="21"/>
      <c r="M40" s="5"/>
      <c r="N40" s="4"/>
      <c r="O40" s="4"/>
      <c r="P40" s="4"/>
      <c r="Q40" s="4"/>
      <c r="R40" s="4"/>
    </row>
    <row r="41" spans="1:18" ht="15" x14ac:dyDescent="0.2">
      <c r="B41" s="69"/>
      <c r="C41" s="26" t="s">
        <v>107</v>
      </c>
      <c r="D41" s="27" t="s">
        <v>108</v>
      </c>
      <c r="E41" s="27" t="s">
        <v>109</v>
      </c>
      <c r="F41" s="24">
        <v>9</v>
      </c>
      <c r="G41" s="21"/>
      <c r="H41" s="21"/>
      <c r="I41" s="40" t="s">
        <v>120</v>
      </c>
      <c r="J41" s="41"/>
      <c r="K41" s="42">
        <v>3.472222222222222E-3</v>
      </c>
      <c r="L41" s="21"/>
      <c r="M41" s="5"/>
      <c r="N41" s="4"/>
      <c r="O41" s="4"/>
      <c r="P41" s="4"/>
      <c r="Q41" s="4"/>
      <c r="R41" s="4"/>
    </row>
    <row r="42" spans="1:18" ht="15" x14ac:dyDescent="0.25">
      <c r="B42" s="69"/>
      <c r="C42" s="53" t="s">
        <v>110</v>
      </c>
      <c r="D42" s="54" t="s">
        <v>111</v>
      </c>
      <c r="E42" s="54" t="s">
        <v>112</v>
      </c>
      <c r="F42" s="55">
        <v>6</v>
      </c>
      <c r="G42" s="21"/>
      <c r="H42" s="21"/>
      <c r="I42" s="19"/>
      <c r="J42" s="19"/>
      <c r="K42" s="19"/>
      <c r="L42" s="21"/>
      <c r="M42" s="5"/>
      <c r="N42" s="4"/>
      <c r="O42" s="4"/>
      <c r="P42" s="4"/>
      <c r="Q42" s="4"/>
      <c r="R42" s="4"/>
    </row>
    <row r="43" spans="1:18" ht="15" x14ac:dyDescent="0.25">
      <c r="A43" s="4"/>
      <c r="B43" s="69"/>
      <c r="C43" s="30" t="s">
        <v>113</v>
      </c>
      <c r="D43" s="31" t="s">
        <v>114</v>
      </c>
      <c r="E43" s="31" t="s">
        <v>114</v>
      </c>
      <c r="F43" s="20">
        <v>3</v>
      </c>
      <c r="G43" s="21"/>
      <c r="H43" s="21"/>
      <c r="I43" s="19"/>
      <c r="J43" s="19"/>
      <c r="K43" s="19"/>
      <c r="L43" s="21"/>
      <c r="M43" s="5"/>
      <c r="N43" s="4"/>
      <c r="O43" s="4"/>
      <c r="P43" s="4"/>
      <c r="Q43" s="4"/>
      <c r="R43" s="4"/>
    </row>
    <row r="44" spans="1:18" x14ac:dyDescent="0.2">
      <c r="A44" s="4"/>
      <c r="B44" s="4"/>
      <c r="C44" s="4"/>
      <c r="D44" s="4"/>
      <c r="E44" s="4"/>
      <c r="F44" s="4"/>
      <c r="G44" s="4"/>
      <c r="H44" s="4"/>
      <c r="L44" s="4"/>
      <c r="M44" s="4"/>
      <c r="N44" s="4"/>
      <c r="O44" s="4"/>
      <c r="P44" s="4"/>
      <c r="Q44" s="4"/>
      <c r="R44" s="4"/>
    </row>
    <row r="45" spans="1:18" x14ac:dyDescent="0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</row>
    <row r="46" spans="1:18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</row>
    <row r="47" spans="1:18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</row>
    <row r="48" spans="1:18" x14ac:dyDescent="0.2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</row>
  </sheetData>
  <mergeCells count="13">
    <mergeCell ref="B39:B43"/>
    <mergeCell ref="C2:K2"/>
    <mergeCell ref="B5:B11"/>
    <mergeCell ref="B12:B18"/>
    <mergeCell ref="B19:B25"/>
    <mergeCell ref="B26:B32"/>
    <mergeCell ref="B33:B38"/>
    <mergeCell ref="I39:J39"/>
    <mergeCell ref="I40:J40"/>
    <mergeCell ref="I41:J41"/>
    <mergeCell ref="I4:J4"/>
    <mergeCell ref="I38:K38"/>
    <mergeCell ref="I24:K24"/>
  </mergeCells>
  <pageMargins left="0.7" right="0.7" top="0.75" bottom="0.75" header="0.3" footer="0.3"/>
  <pageSetup paperSize="11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A81"/>
  <sheetViews>
    <sheetView showGridLines="0" zoomScale="85" zoomScaleNormal="85" workbookViewId="0">
      <selection activeCell="AN11" sqref="AN11"/>
    </sheetView>
  </sheetViews>
  <sheetFormatPr baseColWidth="10" defaultRowHeight="15" x14ac:dyDescent="0.25"/>
  <cols>
    <col min="1" max="1" width="1" customWidth="1"/>
    <col min="2" max="2" width="18.85546875" customWidth="1"/>
    <col min="3" max="3" width="18.7109375" customWidth="1"/>
    <col min="4" max="4" width="48.42578125" customWidth="1"/>
    <col min="6" max="6" width="1" style="103" customWidth="1"/>
    <col min="12" max="12" width="0.85546875" style="103" customWidth="1"/>
    <col min="18" max="18" width="11.42578125" customWidth="1"/>
    <col min="19" max="19" width="34.28515625" hidden="1" customWidth="1"/>
    <col min="20" max="20" width="17.28515625" hidden="1" customWidth="1"/>
    <col min="21" max="27" width="11.42578125" hidden="1" customWidth="1"/>
    <col min="28" max="28" width="3.28515625" hidden="1" customWidth="1"/>
  </cols>
  <sheetData>
    <row r="2" spans="1:53" ht="45" customHeight="1" x14ac:dyDescent="0.25">
      <c r="B2" s="71" t="s">
        <v>155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  <c r="P2" s="71"/>
      <c r="Q2" s="71"/>
    </row>
    <row r="4" spans="1:53" ht="5.25" customHeight="1" x14ac:dyDescent="0.25"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</row>
    <row r="5" spans="1:53" ht="21" x14ac:dyDescent="0.35">
      <c r="A5" s="72"/>
      <c r="B5" s="79" t="s">
        <v>135</v>
      </c>
      <c r="C5" s="75"/>
      <c r="D5" s="75"/>
      <c r="E5" s="75"/>
      <c r="F5" s="104"/>
      <c r="G5" s="75" t="s">
        <v>146</v>
      </c>
      <c r="H5" s="75"/>
      <c r="I5" s="75"/>
      <c r="J5" s="75"/>
      <c r="K5" s="75"/>
      <c r="L5" s="112"/>
      <c r="M5" s="75" t="s">
        <v>147</v>
      </c>
      <c r="N5" s="75"/>
      <c r="O5" s="75"/>
      <c r="P5" s="75"/>
      <c r="Q5" s="76"/>
      <c r="R5" s="77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</row>
    <row r="6" spans="1:53" ht="21" x14ac:dyDescent="0.35">
      <c r="A6" s="72"/>
      <c r="B6" s="100" t="s">
        <v>136</v>
      </c>
      <c r="C6" s="100" t="s">
        <v>137</v>
      </c>
      <c r="D6" s="101" t="s">
        <v>1</v>
      </c>
      <c r="E6" s="102" t="s">
        <v>138</v>
      </c>
      <c r="F6" s="105"/>
      <c r="G6" s="102" t="s">
        <v>139</v>
      </c>
      <c r="H6" s="102" t="s">
        <v>140</v>
      </c>
      <c r="I6" s="102" t="s">
        <v>141</v>
      </c>
      <c r="J6" s="102" t="s">
        <v>142</v>
      </c>
      <c r="K6" s="102" t="s">
        <v>143</v>
      </c>
      <c r="L6" s="99"/>
      <c r="M6" s="102" t="s">
        <v>139</v>
      </c>
      <c r="N6" s="102" t="s">
        <v>140</v>
      </c>
      <c r="O6" s="102" t="s">
        <v>141</v>
      </c>
      <c r="P6" s="102" t="s">
        <v>142</v>
      </c>
      <c r="Q6" s="113" t="s">
        <v>143</v>
      </c>
      <c r="R6" s="77"/>
      <c r="S6" s="2"/>
      <c r="T6" s="2"/>
      <c r="U6" s="2"/>
      <c r="V6" s="2"/>
      <c r="W6" s="2"/>
      <c r="X6" s="2"/>
      <c r="Y6" s="2"/>
      <c r="Z6" s="2"/>
      <c r="AA6" s="2"/>
      <c r="AB6" s="3" t="str">
        <f>IF(AND($G$15=$G$7,$H$15=$H$7),"conflit","ok")</f>
        <v>ok</v>
      </c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</row>
    <row r="7" spans="1:53" ht="21" x14ac:dyDescent="0.35">
      <c r="A7" s="72"/>
      <c r="B7" s="114">
        <v>1</v>
      </c>
      <c r="C7" s="80" t="s">
        <v>5</v>
      </c>
      <c r="D7" s="118" t="str">
        <f>INDEX(Nom,MATCH(Cours,Code,0))</f>
        <v>Écriture et littérature</v>
      </c>
      <c r="E7" s="118">
        <f t="shared" ref="E7:E15" si="0">INDEX(Période,MATCH(Cours,Code,0))</f>
        <v>4</v>
      </c>
      <c r="F7" s="104"/>
      <c r="G7" s="81" t="s">
        <v>122</v>
      </c>
      <c r="H7" s="82">
        <v>0.37152777777777779</v>
      </c>
      <c r="I7" s="81">
        <v>1</v>
      </c>
      <c r="J7" s="122">
        <f t="shared" ref="J7:J15" si="1">H7+(I7*DuréeUnePériode)</f>
        <v>0.40625</v>
      </c>
      <c r="K7" s="81" t="s">
        <v>131</v>
      </c>
      <c r="L7" s="104"/>
      <c r="M7" s="81" t="s">
        <v>125</v>
      </c>
      <c r="N7" s="82">
        <v>0.37152777777777779</v>
      </c>
      <c r="O7" s="118">
        <f>IF(E7-I7=0,"",E7-I7)</f>
        <v>3</v>
      </c>
      <c r="P7" s="122">
        <f t="shared" ref="P7:P15" si="2">INDEX(HeureFin,MATCH(HeureInsérée,HeureDébut,0))</f>
        <v>0.40625</v>
      </c>
      <c r="Q7" s="83" t="s">
        <v>131</v>
      </c>
      <c r="R7" s="77"/>
      <c r="S7" s="2"/>
      <c r="T7" s="2"/>
      <c r="U7" s="2"/>
      <c r="V7" s="2"/>
      <c r="W7" s="2"/>
      <c r="X7" s="2"/>
      <c r="Y7" s="2"/>
      <c r="Z7" s="2"/>
      <c r="AA7" s="3" t="str">
        <f>IF(AND($G$14=$G$7,$H$14=$H$7),"conflit","ok")</f>
        <v>ok</v>
      </c>
      <c r="AB7" s="3" t="str">
        <f>IF(AND($G$15=$G$8,$H$15=$H$8),"conflit","ok")</f>
        <v>ok</v>
      </c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</row>
    <row r="8" spans="1:53" s="18" customFormat="1" ht="21" x14ac:dyDescent="0.35">
      <c r="A8" s="74"/>
      <c r="B8" s="115">
        <v>2</v>
      </c>
      <c r="C8" s="92" t="s">
        <v>8</v>
      </c>
      <c r="D8" s="119" t="str">
        <f t="shared" ref="D8:D15" si="3">INDEX(Nom,MATCH(Cours,Code,0))</f>
        <v>Langue anglaise et communication</v>
      </c>
      <c r="E8" s="119">
        <f t="shared" si="0"/>
        <v>3</v>
      </c>
      <c r="F8" s="106"/>
      <c r="G8" s="93" t="s">
        <v>122</v>
      </c>
      <c r="H8" s="94">
        <v>0.33333333333333331</v>
      </c>
      <c r="I8" s="93">
        <v>2</v>
      </c>
      <c r="J8" s="123">
        <f t="shared" si="1"/>
        <v>0.40277777777777779</v>
      </c>
      <c r="K8" s="93" t="s">
        <v>129</v>
      </c>
      <c r="L8" s="106"/>
      <c r="M8" s="93" t="s">
        <v>126</v>
      </c>
      <c r="N8" s="94">
        <v>0.40972222222222221</v>
      </c>
      <c r="O8" s="119">
        <f>IF(E8-I8=0,"",E8-I8)</f>
        <v>1</v>
      </c>
      <c r="P8" s="123">
        <f t="shared" si="2"/>
        <v>0.36805555555555552</v>
      </c>
      <c r="Q8" s="95" t="s">
        <v>129</v>
      </c>
      <c r="R8" s="73"/>
      <c r="S8" s="13"/>
      <c r="T8" s="13"/>
      <c r="U8" s="13"/>
      <c r="V8" s="13"/>
      <c r="W8" s="13"/>
      <c r="X8" s="13"/>
      <c r="Y8" s="13"/>
      <c r="Z8" s="13" t="str">
        <f>IF(AND($G$13=$G$7,$H$13=$H$7),"conflit","ok")</f>
        <v>ok</v>
      </c>
      <c r="AA8" s="13" t="str">
        <f>IF(AND($G$14=$G$8,$H$14=$H$8),"conflit","ok")</f>
        <v>ok</v>
      </c>
      <c r="AB8" s="13" t="str">
        <f>IF(AND($G$15=$G$9,$H$15=$H$9),"conflit","ok")</f>
        <v>ok</v>
      </c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</row>
    <row r="9" spans="1:53" ht="21" x14ac:dyDescent="0.35">
      <c r="A9" s="72"/>
      <c r="B9" s="116">
        <v>3</v>
      </c>
      <c r="C9" s="88" t="s">
        <v>11</v>
      </c>
      <c r="D9" s="120" t="str">
        <f t="shared" si="3"/>
        <v>Randonnée pédestre (25$)</v>
      </c>
      <c r="E9" s="120">
        <f t="shared" si="0"/>
        <v>2</v>
      </c>
      <c r="F9" s="107"/>
      <c r="G9" s="89" t="s">
        <v>124</v>
      </c>
      <c r="H9" s="90">
        <v>0.40972222222222221</v>
      </c>
      <c r="I9" s="89">
        <v>1</v>
      </c>
      <c r="J9" s="124">
        <f t="shared" si="1"/>
        <v>0.44444444444444442</v>
      </c>
      <c r="K9" s="89" t="s">
        <v>129</v>
      </c>
      <c r="L9" s="107"/>
      <c r="M9" s="89" t="s">
        <v>123</v>
      </c>
      <c r="N9" s="90">
        <v>0.44791666666666663</v>
      </c>
      <c r="O9" s="120">
        <f t="shared" ref="O9:O15" si="4">IF(E9-I9=0,"",E9-I9)</f>
        <v>1</v>
      </c>
      <c r="P9" s="124">
        <f t="shared" si="2"/>
        <v>0.44444444444444442</v>
      </c>
      <c r="Q9" s="91" t="s">
        <v>129</v>
      </c>
      <c r="R9" s="77"/>
      <c r="S9" s="2"/>
      <c r="T9" s="2"/>
      <c r="U9" s="2"/>
      <c r="V9" s="2"/>
      <c r="W9" s="2"/>
      <c r="X9" s="2"/>
      <c r="Y9" s="3" t="str">
        <f>IF(AND($G$12=$G$7,$H$12=$H$7),"conflit","ok")</f>
        <v>ok</v>
      </c>
      <c r="Z9" s="3" t="str">
        <f>IF(AND($G$13=$G$8,$H$13=$H$8),"conflit","ok")</f>
        <v>ok</v>
      </c>
      <c r="AA9" s="3" t="str">
        <f>IF(AND($G$14=$G$9,$H$14=$H$9),"conflit","ok")</f>
        <v>ok</v>
      </c>
      <c r="AB9" s="3" t="str">
        <f>IF(AND($G$15=$G$10,$H$15=$H$10),"conflit","ok")</f>
        <v>ok</v>
      </c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</row>
    <row r="10" spans="1:53" ht="21" x14ac:dyDescent="0.35">
      <c r="A10" s="72"/>
      <c r="B10" s="115">
        <v>4</v>
      </c>
      <c r="C10" s="92" t="s">
        <v>14</v>
      </c>
      <c r="D10" s="119" t="str">
        <f t="shared" si="3"/>
        <v>Mathématique pour l'informatique 1</v>
      </c>
      <c r="E10" s="119">
        <f t="shared" si="0"/>
        <v>3</v>
      </c>
      <c r="F10" s="106"/>
      <c r="G10" s="93" t="s">
        <v>124</v>
      </c>
      <c r="H10" s="94">
        <v>0.56249999999999989</v>
      </c>
      <c r="I10" s="93">
        <v>2</v>
      </c>
      <c r="J10" s="123">
        <f t="shared" si="1"/>
        <v>0.63194444444444431</v>
      </c>
      <c r="K10" s="93" t="s">
        <v>144</v>
      </c>
      <c r="L10" s="106"/>
      <c r="M10" s="93" t="s">
        <v>122</v>
      </c>
      <c r="N10" s="94">
        <v>0.48611111111111105</v>
      </c>
      <c r="O10" s="119">
        <f t="shared" si="4"/>
        <v>1</v>
      </c>
      <c r="P10" s="123">
        <f t="shared" si="2"/>
        <v>0.5972222222222221</v>
      </c>
      <c r="Q10" s="95" t="s">
        <v>144</v>
      </c>
      <c r="R10" s="77"/>
      <c r="S10" s="7"/>
      <c r="T10" s="2"/>
      <c r="U10" s="2"/>
      <c r="V10" s="2"/>
      <c r="W10" s="2"/>
      <c r="X10" s="3" t="str">
        <f>IF(AND($G$11=$G$7,$H$11=$H$7),"conflit","ok")</f>
        <v>ok</v>
      </c>
      <c r="Y10" s="3" t="str">
        <f>IF(AND($G$12=$G$8,$H$12=$H$8),"conflit","ok")</f>
        <v>ok</v>
      </c>
      <c r="Z10" s="3" t="str">
        <f>IF(AND($G$13=$G$9,$H$13=$H$9),"conflit","ok")</f>
        <v>ok</v>
      </c>
      <c r="AA10" s="3" t="str">
        <f>IF(AND($G$14=$G$10,$H$14=$H$10),"conflit","ok")</f>
        <v>ok</v>
      </c>
      <c r="AB10" s="3" t="str">
        <f>IF(AND($G$15=$G$11,$H$15=$H$11),"conflit","ok")</f>
        <v>ok</v>
      </c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</row>
    <row r="11" spans="1:53" ht="21" x14ac:dyDescent="0.35">
      <c r="A11" s="72"/>
      <c r="B11" s="115">
        <v>5</v>
      </c>
      <c r="C11" s="92" t="s">
        <v>17</v>
      </c>
      <c r="D11" s="119" t="str">
        <f t="shared" si="3"/>
        <v>Administration</v>
      </c>
      <c r="E11" s="119">
        <f t="shared" si="0"/>
        <v>5</v>
      </c>
      <c r="F11" s="106"/>
      <c r="G11" s="93" t="s">
        <v>121</v>
      </c>
      <c r="H11" s="94">
        <v>0.48611111111111105</v>
      </c>
      <c r="I11" s="93">
        <v>2</v>
      </c>
      <c r="J11" s="123">
        <f t="shared" si="1"/>
        <v>0.55555555555555547</v>
      </c>
      <c r="K11" s="93" t="s">
        <v>129</v>
      </c>
      <c r="L11" s="106"/>
      <c r="M11" s="93" t="s">
        <v>123</v>
      </c>
      <c r="N11" s="94">
        <v>0.63888888888888873</v>
      </c>
      <c r="O11" s="119">
        <f t="shared" si="4"/>
        <v>3</v>
      </c>
      <c r="P11" s="123">
        <f t="shared" si="2"/>
        <v>0.52083333333333326</v>
      </c>
      <c r="Q11" s="95" t="s">
        <v>129</v>
      </c>
      <c r="R11" s="77"/>
      <c r="S11" s="7"/>
      <c r="T11" s="2"/>
      <c r="U11" s="2"/>
      <c r="V11" s="2"/>
      <c r="W11" s="3" t="str">
        <f>IF(AND($G$10=$G$7,$H$10=$H$7),"conflit","ok")</f>
        <v>ok</v>
      </c>
      <c r="X11" s="3" t="str">
        <f>IF(AND($G$11=$G$8,$H$11=$H$8),"conflit","ok")</f>
        <v>ok</v>
      </c>
      <c r="Y11" s="3" t="str">
        <f>IF(AND($G$12=$G$9,$H$12=$H$9),"conflit","ok")</f>
        <v>ok</v>
      </c>
      <c r="Z11" s="3" t="str">
        <f>IF(AND($G$13=$G$10,$H$13=$H$10),"conflit","ok")</f>
        <v>ok</v>
      </c>
      <c r="AA11" s="3" t="str">
        <f>IF(AND($G$14=$G$11,$H$14=$H$11),"conflit","ok")</f>
        <v>ok</v>
      </c>
      <c r="AB11" s="3" t="str">
        <f>IF(AND($G$15=G12,$H$15=H12),"conflit","ok")</f>
        <v>ok</v>
      </c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</row>
    <row r="12" spans="1:53" ht="21" x14ac:dyDescent="0.35">
      <c r="A12" s="72"/>
      <c r="B12" s="114">
        <v>6</v>
      </c>
      <c r="C12" s="80" t="s">
        <v>99</v>
      </c>
      <c r="D12" s="118" t="str">
        <f t="shared" si="3"/>
        <v>Administration de bases de données</v>
      </c>
      <c r="E12" s="118">
        <f t="shared" si="0"/>
        <v>3</v>
      </c>
      <c r="F12" s="104"/>
      <c r="G12" s="81" t="s">
        <v>123</v>
      </c>
      <c r="H12" s="82">
        <v>0.33333333333333331</v>
      </c>
      <c r="I12" s="81">
        <v>2</v>
      </c>
      <c r="J12" s="122">
        <f t="shared" si="1"/>
        <v>0.40277777777777779</v>
      </c>
      <c r="K12" s="81" t="s">
        <v>145</v>
      </c>
      <c r="L12" s="104"/>
      <c r="M12" s="81" t="s">
        <v>124</v>
      </c>
      <c r="N12" s="82">
        <v>0.48611111111111105</v>
      </c>
      <c r="O12" s="118">
        <f t="shared" si="4"/>
        <v>1</v>
      </c>
      <c r="P12" s="122">
        <f t="shared" si="2"/>
        <v>0.36805555555555552</v>
      </c>
      <c r="Q12" s="83" t="s">
        <v>145</v>
      </c>
      <c r="R12" s="77"/>
      <c r="S12" s="8"/>
      <c r="T12" s="2"/>
      <c r="U12" s="2"/>
      <c r="V12" s="3" t="str">
        <f>IF(AND($G$9=$G$7,$H$9=$H$7),"conflit","ok")</f>
        <v>ok</v>
      </c>
      <c r="W12" s="3" t="str">
        <f>IF(AND($G$10=$G$8,$H$10=$H$8),"conflit","ok")</f>
        <v>ok</v>
      </c>
      <c r="X12" s="3" t="str">
        <f>IF(AND($G$11=$G$9,$H$11=$H$9),"conflit","ok")</f>
        <v>ok</v>
      </c>
      <c r="Y12" s="3" t="str">
        <f>IF(AND($G$12=$G$10,$H$12=$H$10),"conflit","ok")</f>
        <v>ok</v>
      </c>
      <c r="Z12" s="3" t="str">
        <f>IF(AND($G$13=$G$11,$H$13=$H$11),"conflit","ok")</f>
        <v>ok</v>
      </c>
      <c r="AA12" s="3" t="str">
        <f>IF(AND($G$14=G12,$H$14=H12),"conflit","ok")</f>
        <v>ok</v>
      </c>
      <c r="AB12" s="3" t="str">
        <f>IF(AND($G$14=H12,$H$14=I12),"conflit","ok")</f>
        <v>ok</v>
      </c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</row>
    <row r="13" spans="1:53" ht="21" x14ac:dyDescent="0.35">
      <c r="A13" s="72"/>
      <c r="B13" s="115">
        <v>7</v>
      </c>
      <c r="C13" s="92" t="s">
        <v>19</v>
      </c>
      <c r="D13" s="119" t="str">
        <f t="shared" si="3"/>
        <v>Programmation structurée</v>
      </c>
      <c r="E13" s="119">
        <f t="shared" si="0"/>
        <v>6</v>
      </c>
      <c r="F13" s="106"/>
      <c r="G13" s="93" t="s">
        <v>126</v>
      </c>
      <c r="H13" s="94">
        <v>0.63888888888888873</v>
      </c>
      <c r="I13" s="93">
        <v>3</v>
      </c>
      <c r="J13" s="123">
        <f t="shared" si="1"/>
        <v>0.74305555555555536</v>
      </c>
      <c r="K13" s="93" t="s">
        <v>131</v>
      </c>
      <c r="L13" s="106"/>
      <c r="M13" s="93" t="s">
        <v>127</v>
      </c>
      <c r="N13" s="94">
        <v>0.60069444444444431</v>
      </c>
      <c r="O13" s="119">
        <f t="shared" si="4"/>
        <v>3</v>
      </c>
      <c r="P13" s="123">
        <f t="shared" si="2"/>
        <v>0.67361111111111094</v>
      </c>
      <c r="Q13" s="95" t="s">
        <v>131</v>
      </c>
      <c r="R13" s="77"/>
      <c r="S13" s="158" t="s">
        <v>149</v>
      </c>
      <c r="T13" s="159"/>
      <c r="U13" s="3" t="str">
        <f>IF(AND($G$8=$G$7,$H$8=$H$7),"conflit","ok")</f>
        <v>ok</v>
      </c>
      <c r="V13" s="3" t="str">
        <f>IF(AND($G$9=$G$8,$H$9=$H$8),"conflit","ok")</f>
        <v>ok</v>
      </c>
      <c r="W13" s="3" t="str">
        <f>IF(AND($G$10=$G$9,$H$10=$H$9),"conflit","ok")</f>
        <v>ok</v>
      </c>
      <c r="X13" s="3" t="str">
        <f>IF(AND($G$11=$G$10,$H$11=$H$10),"conflit","ok")</f>
        <v>ok</v>
      </c>
      <c r="Y13" s="3" t="str">
        <f>IF(AND($G$12=G11,$H$12=H11),"conflit","ok")</f>
        <v>ok</v>
      </c>
      <c r="Z13" s="3" t="str">
        <f>IF(AND($G$13=G12,$H$13=H12),"conflit","ok")</f>
        <v>ok</v>
      </c>
      <c r="AA13" s="3" t="str">
        <f>IF(AND($G$14=G13,$H$14=H13),"conflit","ok")</f>
        <v>ok</v>
      </c>
      <c r="AB13" s="3" t="str">
        <f>IF(AND($G$13=G15,$H$13=H15),"conflit","ok")</f>
        <v>ok</v>
      </c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</row>
    <row r="14" spans="1:53" ht="21" x14ac:dyDescent="0.35">
      <c r="A14" s="72"/>
      <c r="B14" s="115">
        <v>8</v>
      </c>
      <c r="C14" s="92" t="s">
        <v>22</v>
      </c>
      <c r="D14" s="119" t="str">
        <f t="shared" si="3"/>
        <v>Outils et matériels informatiques</v>
      </c>
      <c r="E14" s="119">
        <f t="shared" si="0"/>
        <v>6</v>
      </c>
      <c r="F14" s="106"/>
      <c r="G14" s="93" t="s">
        <v>123</v>
      </c>
      <c r="H14" s="94">
        <v>0.56249999999999989</v>
      </c>
      <c r="I14" s="93">
        <v>2</v>
      </c>
      <c r="J14" s="123">
        <f t="shared" si="1"/>
        <v>0.63194444444444431</v>
      </c>
      <c r="K14" s="93" t="s">
        <v>134</v>
      </c>
      <c r="L14" s="106"/>
      <c r="M14" s="93" t="s">
        <v>121</v>
      </c>
      <c r="N14" s="94">
        <v>0.63888888888888873</v>
      </c>
      <c r="O14" s="119">
        <f t="shared" si="4"/>
        <v>4</v>
      </c>
      <c r="P14" s="123">
        <f t="shared" si="2"/>
        <v>0.5972222222222221</v>
      </c>
      <c r="Q14" s="95" t="s">
        <v>134</v>
      </c>
      <c r="R14" s="77"/>
      <c r="S14" s="7" t="str">
        <f>D7</f>
        <v>Écriture et littérature</v>
      </c>
      <c r="T14" s="3" t="str">
        <f>IF(OR(U13="conflit",V12="conflit",W11="conflit",X10="conflit",Y9="conflit",Z8="conflit",AA7="conflit",AB6="conflit"),"conflit","ok")</f>
        <v>ok</v>
      </c>
      <c r="U14" s="2" t="str">
        <f>IF(AND($G$7=$G$8,$H$7=$H$8),"conflit","ok")</f>
        <v>ok</v>
      </c>
      <c r="V14" s="3" t="str">
        <f>IF(AND($G$8=$G$9,$H$8=$H$9),"conflit","ok")</f>
        <v>ok</v>
      </c>
      <c r="W14" s="3" t="str">
        <f>IF(AND($G$9=$G$10,$H$9=$H$10),"conflit","ok")</f>
        <v>ok</v>
      </c>
      <c r="X14" s="3" t="str">
        <f>IF(AND($G$10=G11,$H$10=H11),"conflit","ok")</f>
        <v>ok</v>
      </c>
      <c r="Y14" s="3" t="str">
        <f>IF(AND($G$11=G12,$H$11=H12),"conflit","ok")</f>
        <v>ok</v>
      </c>
      <c r="Z14" s="3" t="str">
        <f>IF(AND($G$12=G13,$H$12=H13),"conflit","ok")</f>
        <v>ok</v>
      </c>
      <c r="AA14" s="3" t="str">
        <f>IF(AND($G$13=G14,$H$13=H14),"conflit","ok")</f>
        <v>ok</v>
      </c>
      <c r="AB14" s="3" t="str">
        <f>IF(AND($G$14=G15,$H$14=H15),"conflit","ok")</f>
        <v>ok</v>
      </c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</row>
    <row r="15" spans="1:53" ht="21" x14ac:dyDescent="0.35">
      <c r="A15" s="72"/>
      <c r="B15" s="117">
        <v>9</v>
      </c>
      <c r="C15" s="84" t="s">
        <v>26</v>
      </c>
      <c r="D15" s="121" t="str">
        <f t="shared" si="3"/>
        <v>Philosophie et rationalité</v>
      </c>
      <c r="E15" s="121">
        <f t="shared" si="0"/>
        <v>4</v>
      </c>
      <c r="F15" s="108"/>
      <c r="G15" s="85" t="s">
        <v>126</v>
      </c>
      <c r="H15" s="86">
        <v>0.33333333333333331</v>
      </c>
      <c r="I15" s="85">
        <v>2</v>
      </c>
      <c r="J15" s="125">
        <f t="shared" si="1"/>
        <v>0.40277777777777779</v>
      </c>
      <c r="K15" s="85" t="s">
        <v>132</v>
      </c>
      <c r="L15" s="108"/>
      <c r="M15" s="85" t="s">
        <v>123</v>
      </c>
      <c r="N15" s="86">
        <v>0.48611111111111105</v>
      </c>
      <c r="O15" s="121">
        <f t="shared" si="4"/>
        <v>2</v>
      </c>
      <c r="P15" s="125">
        <f t="shared" si="2"/>
        <v>0.36805555555555552</v>
      </c>
      <c r="Q15" s="87" t="s">
        <v>132</v>
      </c>
      <c r="R15" s="77"/>
      <c r="S15" s="7" t="str">
        <f>D8</f>
        <v>Langue anglaise et communication</v>
      </c>
      <c r="T15" s="3" t="str">
        <f>IF(OR(U14="conflit",V13="conflit",W12="conflit",X11="conflit",Y10="conflit",Z9="conflit",AA8="conflit",AB7="conflit"),"conflit","ok")</f>
        <v>ok</v>
      </c>
      <c r="U15" s="3" t="str">
        <f>IF(AND($G$7=G9,$H$7=H9),"conflit","ok")</f>
        <v>ok</v>
      </c>
      <c r="V15" s="3" t="str">
        <f>IF(AND($G$8=G10,$H$8=H10),"conflit","ok")</f>
        <v>ok</v>
      </c>
      <c r="W15" s="3" t="str">
        <f>IF(AND($G$9=G11,$H$9=H11),"conflit","ok")</f>
        <v>ok</v>
      </c>
      <c r="X15" s="3" t="str">
        <f>IF(AND($G$10=G12,$H$10=H12),"conflit","ok")</f>
        <v>ok</v>
      </c>
      <c r="Y15" s="3" t="str">
        <f>IF(AND($G$11=G13,$H$11=H13),"conflit","ok")</f>
        <v>ok</v>
      </c>
      <c r="Z15" s="3" t="str">
        <f>IF(AND($G$12=G14,$H$12=H14),"conflit","ok")</f>
        <v>ok</v>
      </c>
      <c r="AA15" s="3" t="str">
        <f>IF(AND($G$13=G15,$H$13=H15),"conflit","ok")</f>
        <v>ok</v>
      </c>
      <c r="AB15" s="2"/>
      <c r="AC15" s="7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</row>
    <row r="16" spans="1:53" ht="21" x14ac:dyDescent="0.35">
      <c r="A16" s="72"/>
      <c r="B16" s="72"/>
      <c r="C16" s="72"/>
      <c r="D16" s="72"/>
      <c r="E16" s="72"/>
      <c r="F16" s="109"/>
      <c r="G16" s="72"/>
      <c r="H16" s="72"/>
      <c r="I16" s="72"/>
      <c r="J16" s="72"/>
      <c r="K16" s="72"/>
      <c r="L16" s="109"/>
      <c r="M16" s="72"/>
      <c r="N16" s="72"/>
      <c r="O16" s="72"/>
      <c r="P16" s="77"/>
      <c r="Q16" s="72"/>
      <c r="R16" s="72"/>
      <c r="S16" s="7" t="str">
        <f>D9</f>
        <v>Randonnée pédestre (25$)</v>
      </c>
      <c r="T16" s="3" t="str">
        <f>IF(OR(U15="conflit",V14="conflit",W13="conflit",X12="conflit",Y11="conflit",Z10="conflit",AA9="conflit",AB8="conflit"),"conflit","ok")</f>
        <v>ok</v>
      </c>
      <c r="U16" s="3" t="str">
        <f>IF(AND($G$7=G10,$H$7=H10),"conflit","ok")</f>
        <v>ok</v>
      </c>
      <c r="V16" s="3" t="str">
        <f>IF(AND($G$8=G11,$H$8=H11),"conflit","ok")</f>
        <v>ok</v>
      </c>
      <c r="W16" s="3" t="str">
        <f>IF(AND($G$9=G12,$H$9=H12),"conflit","ok")</f>
        <v>ok</v>
      </c>
      <c r="X16" s="3" t="str">
        <f>IF(AND($G$10=G13,$H$10=H13),"conflit","ok")</f>
        <v>ok</v>
      </c>
      <c r="Y16" s="3" t="str">
        <f>IF(AND($G$11=G14,$H$11=H14),"conflit","ok")</f>
        <v>ok</v>
      </c>
      <c r="Z16" s="3" t="str">
        <f>IF(AND($G$12=G15,$H$12=H15),"conflit","ok")</f>
        <v>ok</v>
      </c>
      <c r="AA16" s="2"/>
      <c r="AB16" s="2"/>
      <c r="AC16" s="7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</row>
    <row r="17" spans="1:53" ht="21" x14ac:dyDescent="0.35">
      <c r="A17" s="72"/>
      <c r="B17" s="72"/>
      <c r="C17" s="72"/>
      <c r="D17" s="72"/>
      <c r="E17" s="72"/>
      <c r="F17" s="109"/>
      <c r="G17" s="72"/>
      <c r="H17" s="72"/>
      <c r="I17" s="72"/>
      <c r="J17" s="72"/>
      <c r="K17" s="72"/>
      <c r="L17" s="109"/>
      <c r="M17" s="72"/>
      <c r="N17" s="72"/>
      <c r="O17" s="72"/>
      <c r="P17" s="77"/>
      <c r="Q17" s="72"/>
      <c r="R17" s="72"/>
      <c r="S17" s="7" t="str">
        <f>D10</f>
        <v>Mathématique pour l'informatique 1</v>
      </c>
      <c r="T17" s="3" t="str">
        <f>IF(OR(U16="conflit",V15="conflit",W14="conflit",X13="conflit",Y12="conflit",Z11="conflit",AA10="conflit",AB9="conflit"),"conflit","ok")</f>
        <v>ok</v>
      </c>
      <c r="U17" s="3" t="str">
        <f>IF(AND($G$7=G11,$H$7=H11),"conflit","ok")</f>
        <v>ok</v>
      </c>
      <c r="V17" s="3" t="str">
        <f>IF(AND($G$8=G12,$H$8=H12),"conflit","ok")</f>
        <v>ok</v>
      </c>
      <c r="W17" s="3" t="str">
        <f>IF(AND($G$9=G13,$H$9=H13),"conflit","ok")</f>
        <v>ok</v>
      </c>
      <c r="X17" s="3" t="str">
        <f>IF(AND($G$10=G14,$H$10=H14),"conflit","ok")</f>
        <v>ok</v>
      </c>
      <c r="Y17" s="3" t="str">
        <f>IF(AND($G$11=G15,$H$11=H15),"conflit","ok")</f>
        <v>ok</v>
      </c>
      <c r="Z17" s="3"/>
      <c r="AA17" s="2"/>
      <c r="AB17" s="2"/>
      <c r="AC17" s="7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</row>
    <row r="18" spans="1:53" ht="21" x14ac:dyDescent="0.35">
      <c r="A18" s="77"/>
      <c r="B18" s="77"/>
      <c r="C18" s="133"/>
      <c r="D18" s="133"/>
      <c r="E18" s="77"/>
      <c r="F18" s="110"/>
      <c r="G18" s="77"/>
      <c r="H18" s="77"/>
      <c r="I18" s="77"/>
      <c r="J18" s="77"/>
      <c r="K18" s="77"/>
      <c r="L18" s="110"/>
      <c r="M18" s="77"/>
      <c r="N18" s="77"/>
      <c r="O18" s="77"/>
      <c r="P18" s="77"/>
      <c r="Q18" s="72"/>
      <c r="R18" s="72"/>
      <c r="S18" s="7" t="str">
        <f>D11</f>
        <v>Administration</v>
      </c>
      <c r="T18" s="3" t="str">
        <f>IF(OR(U17="conflit",V16="conflit",W15="conflit",X14="conflit",Y13="conflit",Z12="conflit",AA11="conflit",AB10="conflit"),"conflit","ok")</f>
        <v>ok</v>
      </c>
      <c r="U18" s="3" t="str">
        <f>IF(AND($G$7=G12,$H$7=H12),"conflit","ok")</f>
        <v>ok</v>
      </c>
      <c r="V18" s="3" t="str">
        <f>IF(AND($G$8=G13,$H$8=H13),"conflit","ok")</f>
        <v>ok</v>
      </c>
      <c r="W18" s="3" t="str">
        <f>IF(AND($G$9=G14,$H$9=H14),"conflit","ok")</f>
        <v>ok</v>
      </c>
      <c r="X18" s="3" t="str">
        <f>IF(AND($G$10=G15,$H$10=H15),"conflit","ok")</f>
        <v>ok</v>
      </c>
      <c r="Y18" s="3"/>
      <c r="Z18" s="2"/>
      <c r="AA18" s="2"/>
      <c r="AB18" s="2"/>
      <c r="AC18" s="7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</row>
    <row r="19" spans="1:53" ht="3" customHeight="1" x14ac:dyDescent="0.35">
      <c r="A19" s="77"/>
      <c r="B19" s="77"/>
      <c r="C19" s="126"/>
      <c r="D19" s="78"/>
      <c r="E19" s="77"/>
      <c r="F19" s="110"/>
      <c r="G19" s="77"/>
      <c r="H19" s="77"/>
      <c r="I19" s="77"/>
      <c r="J19" s="77"/>
      <c r="K19" s="77"/>
      <c r="L19" s="110"/>
      <c r="M19" s="77"/>
      <c r="N19" s="77"/>
      <c r="O19" s="77"/>
      <c r="P19" s="77"/>
      <c r="Q19" s="72"/>
      <c r="R19" s="72"/>
      <c r="S19" s="7"/>
      <c r="T19" s="3"/>
      <c r="U19" s="3"/>
      <c r="V19" s="3"/>
      <c r="W19" s="3"/>
      <c r="X19" s="3"/>
      <c r="Y19" s="3"/>
      <c r="Z19" s="3"/>
      <c r="AA19" s="3"/>
      <c r="AB19" s="3"/>
      <c r="AC19" s="7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</row>
    <row r="20" spans="1:53" ht="23.25" customHeight="1" x14ac:dyDescent="0.35">
      <c r="A20" s="77"/>
      <c r="B20" s="134" t="s">
        <v>156</v>
      </c>
      <c r="C20" s="127" t="s">
        <v>157</v>
      </c>
      <c r="D20" s="131" t="s">
        <v>158</v>
      </c>
      <c r="E20" s="77"/>
      <c r="F20" s="110"/>
      <c r="G20" s="77"/>
      <c r="H20" s="72"/>
      <c r="I20" s="72"/>
      <c r="J20" s="72"/>
      <c r="K20" s="72"/>
      <c r="L20" s="109"/>
      <c r="M20" s="72"/>
      <c r="N20" s="72"/>
      <c r="O20" s="72"/>
      <c r="P20" s="72"/>
      <c r="Q20" s="72"/>
      <c r="R20" s="72"/>
      <c r="S20" s="7" t="str">
        <f>D12</f>
        <v>Administration de bases de données</v>
      </c>
      <c r="T20" s="3" t="str">
        <f>IF(OR(U18="conflit",V17="conflit",W16="conflit",X15="conflit",Y14="conflit",Z13="conflit",AA12="conflit",AB11="conflit"),"conflit","ok")</f>
        <v>ok</v>
      </c>
      <c r="U20" s="3" t="str">
        <f>IF(AND($G$7=G13,$H$7=H13),"conflit","ok")</f>
        <v>ok</v>
      </c>
      <c r="V20" s="3" t="str">
        <f>IF(AND($G$8=G14,$H$8=H14),"conflit","ok")</f>
        <v>ok</v>
      </c>
      <c r="W20" s="3" t="str">
        <f>IF(AND($G$9=G15,$H$9=H15),"conflit","ok")</f>
        <v>ok</v>
      </c>
      <c r="X20" s="3"/>
      <c r="Y20" s="2"/>
      <c r="Z20" s="2"/>
      <c r="AA20" s="2"/>
      <c r="AB20" s="2"/>
      <c r="AC20" s="7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</row>
    <row r="21" spans="1:53" ht="3" customHeight="1" x14ac:dyDescent="0.35">
      <c r="A21" s="77"/>
      <c r="B21" s="134"/>
      <c r="C21" s="126"/>
      <c r="D21" s="131"/>
      <c r="E21" s="77"/>
      <c r="F21" s="110"/>
      <c r="G21" s="77"/>
      <c r="H21" s="72"/>
      <c r="I21" s="72"/>
      <c r="J21" s="72"/>
      <c r="K21" s="72"/>
      <c r="L21" s="109"/>
      <c r="M21" s="72"/>
      <c r="N21" s="72"/>
      <c r="O21" s="72"/>
      <c r="P21" s="72"/>
      <c r="Q21" s="72"/>
      <c r="R21" s="72"/>
      <c r="S21" s="7" t="str">
        <f>D13</f>
        <v>Programmation structurée</v>
      </c>
      <c r="T21" s="3" t="str">
        <f>IF(OR(U20="conflit",V18="conflit",W17="conflit",X16="conflit",Y15="conflit",Z14="conflit",AA13="conflit",AB12="conflit"),"conflit","ok")</f>
        <v>ok</v>
      </c>
      <c r="U21" s="3" t="str">
        <f>IF(AND($G$7=G14,$H$7=H14),"conflit","ok")</f>
        <v>ok</v>
      </c>
      <c r="V21" s="3" t="str">
        <f>IF(AND($G$8=G15,$H$8=H15),"conflit","ok")</f>
        <v>ok</v>
      </c>
      <c r="W21" s="3"/>
      <c r="X21" s="2"/>
      <c r="Y21" s="2"/>
      <c r="Z21" s="2"/>
      <c r="AA21" s="2"/>
      <c r="AB21" s="2"/>
      <c r="AC21" s="7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</row>
    <row r="22" spans="1:53" ht="24" customHeight="1" x14ac:dyDescent="0.35">
      <c r="A22" s="77"/>
      <c r="B22" s="134"/>
      <c r="C22" s="128" t="s">
        <v>157</v>
      </c>
      <c r="D22" s="131" t="s">
        <v>150</v>
      </c>
      <c r="E22" s="77"/>
      <c r="F22" s="110"/>
      <c r="G22" s="77"/>
      <c r="H22" s="72"/>
      <c r="I22" s="72"/>
      <c r="J22" s="72"/>
      <c r="K22" s="72"/>
      <c r="L22" s="109"/>
      <c r="M22" s="72"/>
      <c r="N22" s="72"/>
      <c r="O22" s="72"/>
      <c r="P22" s="72"/>
      <c r="Q22" s="72"/>
      <c r="R22" s="72"/>
      <c r="S22" s="7" t="str">
        <f>D14</f>
        <v>Outils et matériels informatiques</v>
      </c>
      <c r="T22" s="3" t="str">
        <f>IF(OR(U21="conflit",V20="conflit",W18="conflit",X17="conflit",Y16="conflit",Z15="conflit",AA14="conflit",AB13="conflit"),"conflit","ok")</f>
        <v>ok</v>
      </c>
      <c r="U22" s="3" t="str">
        <f>IF(AND($G$7=G15,$H$7=H15),"conflit","ok")</f>
        <v>ok</v>
      </c>
      <c r="V22" s="3"/>
      <c r="W22" s="3"/>
      <c r="X22" s="2"/>
      <c r="Y22" s="2"/>
      <c r="Z22" s="2"/>
      <c r="AA22" s="2"/>
      <c r="AB22" s="2"/>
      <c r="AC22" s="7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</row>
    <row r="23" spans="1:53" ht="3" customHeight="1" x14ac:dyDescent="0.25">
      <c r="A23" s="2"/>
      <c r="B23" s="134"/>
      <c r="C23" s="126"/>
      <c r="D23" s="131"/>
      <c r="E23" s="2"/>
      <c r="F23" s="111"/>
      <c r="G23" s="2"/>
      <c r="S23" s="7" t="str">
        <f>D15</f>
        <v>Philosophie et rationalité</v>
      </c>
      <c r="T23" s="2" t="str">
        <f>IF(OR(U22="conflit",V21="conflit",W20="conflit",X18="conflit",Y17="conflit",Z16="conflit",AA15="conflit",AB14="conflit"),"conflit","ok")</f>
        <v>ok</v>
      </c>
      <c r="U23" s="3"/>
      <c r="V23" s="3"/>
      <c r="W23" s="3"/>
      <c r="X23" s="2"/>
      <c r="Y23" s="2"/>
      <c r="Z23" s="2"/>
      <c r="AA23" s="2"/>
      <c r="AB23" s="2"/>
      <c r="AC23" s="3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</row>
    <row r="24" spans="1:53" ht="24" customHeight="1" x14ac:dyDescent="0.25">
      <c r="A24" s="2"/>
      <c r="B24" s="134"/>
      <c r="C24" s="129" t="s">
        <v>159</v>
      </c>
      <c r="D24" s="131" t="s">
        <v>160</v>
      </c>
      <c r="E24" s="2"/>
      <c r="F24" s="111"/>
      <c r="G24" s="2"/>
      <c r="S24" s="8"/>
      <c r="AC24" s="3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</row>
    <row r="25" spans="1:53" ht="3" customHeight="1" x14ac:dyDescent="0.25">
      <c r="A25" s="2"/>
      <c r="B25" s="134"/>
      <c r="C25" s="126"/>
      <c r="D25" s="131"/>
      <c r="E25" s="2"/>
      <c r="F25" s="111"/>
      <c r="G25" s="2"/>
      <c r="S25" s="8"/>
      <c r="AC25" s="3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</row>
    <row r="26" spans="1:53" ht="24" customHeight="1" x14ac:dyDescent="0.25">
      <c r="A26" s="2"/>
      <c r="B26" s="134"/>
      <c r="C26" s="130" t="s">
        <v>159</v>
      </c>
      <c r="D26" s="132" t="s">
        <v>161</v>
      </c>
      <c r="E26" s="2"/>
      <c r="F26" s="111"/>
      <c r="G26" s="2"/>
      <c r="S26" s="160" t="s">
        <v>150</v>
      </c>
      <c r="T26" s="161"/>
      <c r="AC26" s="3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</row>
    <row r="27" spans="1:53" x14ac:dyDescent="0.25">
      <c r="A27" s="2"/>
      <c r="C27" s="2"/>
      <c r="D27" s="2"/>
      <c r="E27" s="2"/>
      <c r="F27" s="111"/>
      <c r="G27" s="2"/>
      <c r="S27" s="162" t="str">
        <f>D7</f>
        <v>Écriture et littérature</v>
      </c>
      <c r="T27" s="163" t="str">
        <f>IF(O7+I7&lt;E7,"obsolete","correcte")</f>
        <v>correcte</v>
      </c>
      <c r="AC27" s="3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</row>
    <row r="28" spans="1:53" x14ac:dyDescent="0.25">
      <c r="A28" s="2"/>
      <c r="C28" s="2"/>
      <c r="D28" s="2"/>
      <c r="E28" s="2"/>
      <c r="F28" s="111"/>
      <c r="G28" s="2"/>
      <c r="S28" s="164" t="str">
        <f>D8</f>
        <v>Langue anglaise et communication</v>
      </c>
      <c r="T28" s="163" t="str">
        <f>IF(O8+I8&lt;E8,"obsolete","correcte")</f>
        <v>correcte</v>
      </c>
      <c r="AC28" s="3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</row>
    <row r="29" spans="1:53" x14ac:dyDescent="0.25">
      <c r="A29" s="2"/>
      <c r="B29" s="2"/>
      <c r="C29" s="2"/>
      <c r="D29" s="2"/>
      <c r="E29" s="2"/>
      <c r="F29" s="111"/>
      <c r="G29" s="2"/>
      <c r="S29" s="162" t="str">
        <f>D9</f>
        <v>Randonnée pédestre (25$)</v>
      </c>
      <c r="T29" s="163" t="str">
        <f>IF(O9+I9&lt;E9,"obsolete","correcte")</f>
        <v>correcte</v>
      </c>
      <c r="AC29" s="3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</row>
    <row r="30" spans="1:53" x14ac:dyDescent="0.25">
      <c r="A30" s="2"/>
      <c r="B30" s="2"/>
      <c r="C30" s="2"/>
      <c r="D30" s="2"/>
      <c r="E30" s="2"/>
      <c r="F30" s="111"/>
      <c r="G30" s="2"/>
      <c r="S30" s="162" t="str">
        <f>D10</f>
        <v>Mathématique pour l'informatique 1</v>
      </c>
      <c r="T30" s="163" t="str">
        <f>IF(O10+I10&lt;E10,"obsolete","correcte")</f>
        <v>correcte</v>
      </c>
      <c r="U30" s="3"/>
      <c r="Y30" s="2"/>
      <c r="Z30" s="2"/>
      <c r="AA30" s="2"/>
      <c r="AB30" s="2"/>
      <c r="AC30" s="3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</row>
    <row r="31" spans="1:53" x14ac:dyDescent="0.25">
      <c r="A31" s="2"/>
      <c r="B31" s="2"/>
      <c r="C31" s="2"/>
      <c r="D31" s="2"/>
      <c r="E31" s="2"/>
      <c r="F31" s="111"/>
      <c r="G31" s="2"/>
      <c r="S31" s="162" t="str">
        <f>D11</f>
        <v>Administration</v>
      </c>
      <c r="T31" s="163" t="str">
        <f>IF(O11+I11&lt;E11,"obsolete","correcte")</f>
        <v>correcte</v>
      </c>
      <c r="AC31" s="3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</row>
    <row r="32" spans="1:53" x14ac:dyDescent="0.25">
      <c r="A32" s="2"/>
      <c r="B32" s="2"/>
      <c r="C32" s="2"/>
      <c r="D32" s="2"/>
      <c r="E32" s="2"/>
      <c r="F32" s="111"/>
      <c r="G32" s="2"/>
      <c r="S32" s="162" t="str">
        <f>D12</f>
        <v>Administration de bases de données</v>
      </c>
      <c r="T32" s="163" t="str">
        <f>IF(O12+I12&lt;E12,"obsolete","correcte")</f>
        <v>correcte</v>
      </c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</row>
    <row r="33" spans="1:53" x14ac:dyDescent="0.25">
      <c r="A33" s="2"/>
      <c r="B33" s="2"/>
      <c r="C33" s="2"/>
      <c r="D33" s="2"/>
      <c r="E33" s="2"/>
      <c r="F33" s="111"/>
      <c r="G33" s="2"/>
      <c r="S33" s="162" t="str">
        <f>D13</f>
        <v>Programmation structurée</v>
      </c>
      <c r="T33" s="163" t="str">
        <f>IF(O13+I13&lt;E13,"obsolete","correcte")</f>
        <v>correcte</v>
      </c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</row>
    <row r="34" spans="1:53" x14ac:dyDescent="0.25">
      <c r="A34" s="2"/>
      <c r="B34" s="2"/>
      <c r="C34" s="2"/>
      <c r="D34" s="2"/>
      <c r="E34" s="2"/>
      <c r="F34" s="111"/>
      <c r="G34" s="2"/>
      <c r="S34" s="162" t="str">
        <f>D14</f>
        <v>Outils et matériels informatiques</v>
      </c>
      <c r="T34" s="163" t="str">
        <f>IF(O14+I14&lt;E14,"obsolete","correcte")</f>
        <v>correcte</v>
      </c>
      <c r="U34" s="3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</row>
    <row r="35" spans="1:53" x14ac:dyDescent="0.25">
      <c r="A35" s="2"/>
      <c r="B35" s="2"/>
      <c r="C35" s="2"/>
      <c r="D35" s="2"/>
      <c r="E35" s="2"/>
      <c r="F35" s="111"/>
      <c r="G35" s="2"/>
      <c r="S35" s="165" t="str">
        <f>D15</f>
        <v>Philosophie et rationalité</v>
      </c>
      <c r="T35" s="166" t="str">
        <f>IF(O15+I15&lt;E15,"obsolete","correcte")</f>
        <v>correcte</v>
      </c>
      <c r="U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</row>
    <row r="36" spans="1:53" x14ac:dyDescent="0.25">
      <c r="A36" s="2"/>
      <c r="B36" s="2"/>
      <c r="C36" s="2"/>
      <c r="D36" s="2"/>
      <c r="E36" s="2"/>
      <c r="F36" s="111"/>
      <c r="G36" s="2"/>
      <c r="H36" s="2"/>
      <c r="I36" s="2"/>
      <c r="J36" s="3"/>
      <c r="K36" s="2"/>
      <c r="L36" s="111"/>
      <c r="M36" s="2"/>
      <c r="N36" s="2"/>
      <c r="O36" s="2"/>
      <c r="P36" s="2"/>
      <c r="Q36" s="2"/>
      <c r="R36" s="2"/>
      <c r="S36" s="7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</row>
    <row r="37" spans="1:53" x14ac:dyDescent="0.25">
      <c r="A37" s="2"/>
      <c r="B37" s="2"/>
      <c r="C37" s="2"/>
      <c r="D37" s="2"/>
      <c r="E37" s="2"/>
      <c r="F37" s="111"/>
      <c r="G37" s="2"/>
      <c r="H37" s="2"/>
      <c r="I37" s="2"/>
      <c r="J37" s="3"/>
      <c r="K37" s="2"/>
      <c r="L37" s="111"/>
      <c r="M37" s="2"/>
      <c r="N37" s="2"/>
      <c r="O37" s="2"/>
      <c r="P37" s="2"/>
      <c r="Q37" s="2"/>
      <c r="R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</row>
    <row r="38" spans="1:53" x14ac:dyDescent="0.25">
      <c r="A38" s="2"/>
      <c r="B38" s="2"/>
      <c r="C38" s="2"/>
      <c r="D38" s="2"/>
      <c r="E38" s="2"/>
      <c r="F38" s="111"/>
      <c r="G38" s="2"/>
      <c r="H38" s="2"/>
      <c r="I38" s="2"/>
      <c r="J38" s="2"/>
      <c r="K38" s="2"/>
      <c r="L38" s="111"/>
      <c r="M38" s="2"/>
      <c r="N38" s="2"/>
      <c r="O38" s="2"/>
      <c r="P38" s="2"/>
      <c r="Q38" s="2"/>
      <c r="R38" s="2"/>
      <c r="S38" s="160" t="s">
        <v>151</v>
      </c>
      <c r="T38" s="167"/>
      <c r="U38" s="167"/>
      <c r="V38" s="161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</row>
    <row r="39" spans="1:53" x14ac:dyDescent="0.25">
      <c r="A39" s="2"/>
      <c r="B39" s="2"/>
      <c r="C39" s="2"/>
      <c r="D39" s="2"/>
      <c r="E39" s="2"/>
      <c r="F39" s="111"/>
      <c r="G39" s="2"/>
      <c r="H39" s="2"/>
      <c r="I39" s="2"/>
      <c r="J39" s="2"/>
      <c r="K39" s="2"/>
      <c r="L39" s="111"/>
      <c r="M39" s="2"/>
      <c r="N39" s="2"/>
      <c r="O39" s="2"/>
      <c r="P39" s="2"/>
      <c r="Q39" s="2"/>
      <c r="R39" s="2"/>
      <c r="S39" s="168" t="str">
        <f>D7</f>
        <v>Écriture et littérature</v>
      </c>
      <c r="T39" s="169">
        <f>H7+((DuréeUnePériode+Pramètres!K41)*I7)</f>
        <v>0.40972222222222221</v>
      </c>
      <c r="U39" s="170">
        <f>T39</f>
        <v>0.40972222222222221</v>
      </c>
      <c r="V39" s="14" t="str">
        <f>IF(U39&gt;$U$49,"erreur","correcte")</f>
        <v>correcte</v>
      </c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</row>
    <row r="40" spans="1:53" x14ac:dyDescent="0.25">
      <c r="A40" s="2"/>
      <c r="B40" s="2"/>
      <c r="C40" s="2"/>
      <c r="D40" s="2"/>
      <c r="E40" s="2"/>
      <c r="F40" s="111"/>
      <c r="G40" s="2"/>
      <c r="H40" s="2"/>
      <c r="I40" s="2"/>
      <c r="J40" s="2"/>
      <c r="K40" s="2"/>
      <c r="L40" s="111"/>
      <c r="M40" s="2"/>
      <c r="N40" s="2"/>
      <c r="O40" s="2"/>
      <c r="P40" s="2"/>
      <c r="Q40" s="2"/>
      <c r="R40" s="2"/>
      <c r="S40" s="168" t="str">
        <f>D8</f>
        <v>Langue anglaise et communication</v>
      </c>
      <c r="T40" s="169">
        <f>H8+((DuréeUnePériode+Pramètres!M8)*I8)</f>
        <v>0.40277777777777779</v>
      </c>
      <c r="U40" s="170">
        <f t="shared" ref="U40:U47" si="5">T40</f>
        <v>0.40277777777777779</v>
      </c>
      <c r="V40" s="14" t="str">
        <f t="shared" ref="V40:V47" si="6">IF(U40&gt;$U$49,"erreur","correcte")</f>
        <v>correcte</v>
      </c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</row>
    <row r="41" spans="1:53" x14ac:dyDescent="0.25">
      <c r="A41" s="2"/>
      <c r="B41" s="2"/>
      <c r="C41" s="2"/>
      <c r="D41" s="2"/>
      <c r="E41" s="2"/>
      <c r="F41" s="111"/>
      <c r="G41" s="2"/>
      <c r="H41" s="2"/>
      <c r="I41" s="2"/>
      <c r="J41" s="2"/>
      <c r="K41" s="2"/>
      <c r="L41" s="111"/>
      <c r="M41" s="2"/>
      <c r="N41" s="2"/>
      <c r="O41" s="2"/>
      <c r="P41" s="2"/>
      <c r="Q41" s="2"/>
      <c r="R41" s="2"/>
      <c r="S41" s="168" t="str">
        <f>D9</f>
        <v>Randonnée pédestre (25$)</v>
      </c>
      <c r="T41" s="169">
        <f>H9+((DuréeUnePériode+Pramètres!M9)*I9)</f>
        <v>0.44444444444444442</v>
      </c>
      <c r="U41" s="170">
        <f t="shared" si="5"/>
        <v>0.44444444444444442</v>
      </c>
      <c r="V41" s="14" t="str">
        <f t="shared" si="6"/>
        <v>correcte</v>
      </c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</row>
    <row r="42" spans="1:53" x14ac:dyDescent="0.25">
      <c r="A42" s="2"/>
      <c r="B42" s="2"/>
      <c r="C42" s="2"/>
      <c r="D42" s="2"/>
      <c r="E42" s="2"/>
      <c r="F42" s="111"/>
      <c r="G42" s="2"/>
      <c r="H42" s="2"/>
      <c r="I42" s="2"/>
      <c r="J42" s="2"/>
      <c r="K42" s="2"/>
      <c r="L42" s="111"/>
      <c r="M42" s="2"/>
      <c r="N42" s="2"/>
      <c r="O42" s="2"/>
      <c r="P42" s="2"/>
      <c r="Q42" s="2"/>
      <c r="R42" s="2"/>
      <c r="S42" s="168" t="str">
        <f>D10</f>
        <v>Mathématique pour l'informatique 1</v>
      </c>
      <c r="T42" s="169">
        <f>H10+((DuréeUnePériode+Pramètres!M10)*I10)</f>
        <v>0.63194444444444431</v>
      </c>
      <c r="U42" s="170">
        <f t="shared" si="5"/>
        <v>0.63194444444444431</v>
      </c>
      <c r="V42" s="14" t="str">
        <f t="shared" si="6"/>
        <v>correcte</v>
      </c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</row>
    <row r="43" spans="1:53" x14ac:dyDescent="0.25">
      <c r="A43" s="2"/>
      <c r="B43" s="2"/>
      <c r="C43" s="2"/>
      <c r="D43" s="2"/>
      <c r="E43" s="2"/>
      <c r="F43" s="111"/>
      <c r="G43" s="2"/>
      <c r="H43" s="2"/>
      <c r="I43" s="2"/>
      <c r="J43" s="2"/>
      <c r="K43" s="2"/>
      <c r="L43" s="111"/>
      <c r="M43" s="2"/>
      <c r="N43" s="2"/>
      <c r="O43" s="2"/>
      <c r="P43" s="2"/>
      <c r="Q43" s="2"/>
      <c r="R43" s="2"/>
      <c r="S43" s="168" t="str">
        <f>D11</f>
        <v>Administration</v>
      </c>
      <c r="T43" s="169">
        <f>H11+((DuréeUnePériode+Pramètres!M11)*I11)</f>
        <v>0.55555555555555547</v>
      </c>
      <c r="U43" s="170">
        <f t="shared" si="5"/>
        <v>0.55555555555555547</v>
      </c>
      <c r="V43" s="14" t="str">
        <f t="shared" si="6"/>
        <v>correcte</v>
      </c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</row>
    <row r="44" spans="1:53" x14ac:dyDescent="0.25">
      <c r="A44" s="2"/>
      <c r="B44" s="2"/>
      <c r="C44" s="2"/>
      <c r="D44" s="2"/>
      <c r="E44" s="2"/>
      <c r="F44" s="111"/>
      <c r="G44" s="2"/>
      <c r="H44" s="2"/>
      <c r="I44" s="2"/>
      <c r="J44" s="2"/>
      <c r="K44" s="2"/>
      <c r="L44" s="111"/>
      <c r="M44" s="2"/>
      <c r="N44" s="2"/>
      <c r="O44" s="2"/>
      <c r="P44" s="2"/>
      <c r="Q44" s="2"/>
      <c r="R44" s="2"/>
      <c r="S44" s="168" t="str">
        <f>D12</f>
        <v>Administration de bases de données</v>
      </c>
      <c r="T44" s="169">
        <f>H12+((DuréeUnePériode+Pramètres!M12)*I12)</f>
        <v>0.40277777777777779</v>
      </c>
      <c r="U44" s="170">
        <f t="shared" si="5"/>
        <v>0.40277777777777779</v>
      </c>
      <c r="V44" s="14" t="str">
        <f t="shared" si="6"/>
        <v>correcte</v>
      </c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</row>
    <row r="45" spans="1:53" x14ac:dyDescent="0.25">
      <c r="A45" s="2"/>
      <c r="B45" s="2"/>
      <c r="C45" s="2"/>
      <c r="D45" s="2"/>
      <c r="E45" s="2"/>
      <c r="F45" s="111"/>
      <c r="G45" s="2"/>
      <c r="H45" s="2"/>
      <c r="I45" s="2"/>
      <c r="J45" s="2"/>
      <c r="K45" s="2"/>
      <c r="L45" s="111"/>
      <c r="M45" s="2"/>
      <c r="N45" s="2"/>
      <c r="O45" s="2"/>
      <c r="P45" s="2"/>
      <c r="Q45" s="2"/>
      <c r="R45" s="2"/>
      <c r="S45" s="168" t="str">
        <f>D13</f>
        <v>Programmation structurée</v>
      </c>
      <c r="T45" s="169">
        <f>H13+((DuréeUnePériode+Pramètres!M13)*I13)</f>
        <v>0.74305555555555536</v>
      </c>
      <c r="U45" s="170">
        <f t="shared" si="5"/>
        <v>0.74305555555555536</v>
      </c>
      <c r="V45" s="14" t="str">
        <f t="shared" si="6"/>
        <v>correcte</v>
      </c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</row>
    <row r="46" spans="1:53" x14ac:dyDescent="0.25">
      <c r="A46" s="2"/>
      <c r="B46" s="2"/>
      <c r="C46" s="2"/>
      <c r="D46" s="2"/>
      <c r="E46" s="2"/>
      <c r="F46" s="111"/>
      <c r="G46" s="2"/>
      <c r="H46" s="2"/>
      <c r="I46" s="2"/>
      <c r="J46" s="2"/>
      <c r="K46" s="2"/>
      <c r="L46" s="111"/>
      <c r="M46" s="2"/>
      <c r="N46" s="2"/>
      <c r="O46" s="2"/>
      <c r="P46" s="2"/>
      <c r="Q46" s="2"/>
      <c r="R46" s="2"/>
      <c r="S46" s="168" t="str">
        <f>D14</f>
        <v>Outils et matériels informatiques</v>
      </c>
      <c r="T46" s="169">
        <f>H14+((DuréeUnePériode+Pramètres!M14)*I14)</f>
        <v>0.63194444444444431</v>
      </c>
      <c r="U46" s="170">
        <f t="shared" si="5"/>
        <v>0.63194444444444431</v>
      </c>
      <c r="V46" s="14" t="str">
        <f t="shared" si="6"/>
        <v>correcte</v>
      </c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</row>
    <row r="47" spans="1:53" x14ac:dyDescent="0.25">
      <c r="A47" s="2"/>
      <c r="B47" s="2"/>
      <c r="C47" s="2"/>
      <c r="D47" s="2"/>
      <c r="E47" s="2"/>
      <c r="F47" s="111"/>
      <c r="G47" s="2"/>
      <c r="H47" s="2"/>
      <c r="I47" s="2"/>
      <c r="J47" s="2"/>
      <c r="K47" s="2"/>
      <c r="L47" s="111"/>
      <c r="M47" s="2"/>
      <c r="N47" s="2"/>
      <c r="O47" s="2"/>
      <c r="P47" s="2"/>
      <c r="Q47" s="2"/>
      <c r="R47" s="2"/>
      <c r="S47" s="171" t="str">
        <f>D15</f>
        <v>Philosophie et rationalité</v>
      </c>
      <c r="T47" s="172">
        <f>H15+((DuréeUnePériode+Pramètres!M15)*I15)</f>
        <v>0.40277777777777779</v>
      </c>
      <c r="U47" s="173">
        <f t="shared" si="5"/>
        <v>0.40277777777777779</v>
      </c>
      <c r="V47" s="17" t="str">
        <f t="shared" si="6"/>
        <v>correcte</v>
      </c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</row>
    <row r="48" spans="1:53" x14ac:dyDescent="0.25">
      <c r="A48" s="2"/>
      <c r="B48" s="2"/>
      <c r="C48" s="2"/>
      <c r="D48" s="2"/>
      <c r="E48" s="2"/>
      <c r="F48" s="111"/>
      <c r="G48" s="2"/>
      <c r="H48" s="2"/>
      <c r="I48" s="2"/>
      <c r="J48" s="2"/>
      <c r="K48" s="2"/>
      <c r="L48" s="111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</row>
    <row r="49" spans="1:53" x14ac:dyDescent="0.25">
      <c r="A49" s="2"/>
      <c r="B49" s="2"/>
      <c r="C49" s="2"/>
      <c r="D49" s="2"/>
      <c r="E49" s="2"/>
      <c r="F49" s="111"/>
      <c r="G49" s="2"/>
      <c r="H49" s="2"/>
      <c r="I49" s="2"/>
      <c r="J49" s="2"/>
      <c r="K49" s="2"/>
      <c r="L49" s="111"/>
      <c r="M49" s="2"/>
      <c r="N49" s="2"/>
      <c r="O49" s="2"/>
      <c r="P49" s="2"/>
      <c r="Q49" s="2"/>
      <c r="R49" s="2"/>
      <c r="S49" s="2"/>
      <c r="T49" s="9">
        <v>0.75</v>
      </c>
      <c r="U49" s="10">
        <f>T49</f>
        <v>0.75</v>
      </c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</row>
    <row r="50" spans="1:53" x14ac:dyDescent="0.25">
      <c r="A50" s="2"/>
      <c r="B50" s="2"/>
      <c r="C50" s="2"/>
      <c r="D50" s="2"/>
      <c r="E50" s="2"/>
      <c r="F50" s="111"/>
      <c r="G50" s="2"/>
      <c r="H50" s="2"/>
      <c r="I50" s="2"/>
      <c r="J50" s="2"/>
      <c r="K50" s="2"/>
      <c r="L50" s="111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</row>
    <row r="51" spans="1:53" x14ac:dyDescent="0.25">
      <c r="A51" s="2"/>
      <c r="B51" s="2"/>
      <c r="C51" s="2"/>
      <c r="D51" s="2"/>
      <c r="E51" s="2"/>
      <c r="F51" s="111"/>
      <c r="G51" s="2"/>
      <c r="H51" s="2"/>
      <c r="I51" s="2"/>
      <c r="J51" s="2"/>
      <c r="K51" s="2"/>
      <c r="L51" s="111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</row>
    <row r="52" spans="1:53" x14ac:dyDescent="0.25">
      <c r="A52" s="2"/>
      <c r="B52" s="2"/>
      <c r="C52" s="2"/>
      <c r="D52" s="2"/>
      <c r="E52" s="2"/>
      <c r="F52" s="111"/>
      <c r="G52" s="2"/>
      <c r="H52" s="2"/>
      <c r="I52" s="2"/>
      <c r="J52" s="2"/>
      <c r="K52" s="2"/>
      <c r="L52" s="111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</row>
    <row r="53" spans="1:53" x14ac:dyDescent="0.25">
      <c r="A53" s="2"/>
      <c r="B53" s="2"/>
      <c r="C53" s="2"/>
      <c r="D53" s="2"/>
      <c r="E53" s="2"/>
      <c r="F53" s="111"/>
      <c r="G53" s="2"/>
      <c r="H53" s="2"/>
      <c r="I53" s="2"/>
      <c r="J53" s="2"/>
      <c r="K53" s="2"/>
      <c r="L53" s="111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</row>
    <row r="54" spans="1:53" x14ac:dyDescent="0.25">
      <c r="A54" s="2"/>
      <c r="B54" s="2"/>
      <c r="C54" s="2"/>
      <c r="D54" s="2"/>
      <c r="E54" s="2"/>
      <c r="F54" s="111"/>
      <c r="G54" s="2"/>
      <c r="H54" s="2"/>
      <c r="I54" s="2"/>
      <c r="J54" s="2"/>
      <c r="K54" s="2"/>
      <c r="L54" s="111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</row>
    <row r="55" spans="1:53" x14ac:dyDescent="0.25">
      <c r="A55" s="2"/>
      <c r="B55" s="2"/>
      <c r="C55" s="2"/>
      <c r="D55" s="2"/>
      <c r="E55" s="2"/>
      <c r="F55" s="111"/>
      <c r="G55" s="2"/>
      <c r="H55" s="2"/>
      <c r="I55" s="2"/>
      <c r="J55" s="2"/>
      <c r="K55" s="2"/>
      <c r="L55" s="111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</row>
    <row r="56" spans="1:53" x14ac:dyDescent="0.25">
      <c r="A56" s="2"/>
      <c r="B56" s="2"/>
      <c r="C56" s="2"/>
      <c r="D56" s="2"/>
      <c r="E56" s="2"/>
      <c r="F56" s="111"/>
      <c r="G56" s="2"/>
      <c r="H56" s="2"/>
      <c r="I56" s="2"/>
      <c r="J56" s="2"/>
      <c r="K56" s="2"/>
      <c r="L56" s="111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</row>
    <row r="57" spans="1:53" x14ac:dyDescent="0.25">
      <c r="A57" s="2"/>
      <c r="B57" s="2"/>
      <c r="C57" s="2"/>
      <c r="D57" s="2"/>
      <c r="E57" s="2"/>
      <c r="F57" s="111"/>
      <c r="G57" s="2"/>
      <c r="H57" s="2"/>
      <c r="I57" s="2"/>
      <c r="J57" s="2"/>
      <c r="K57" s="2"/>
      <c r="L57" s="111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</row>
    <row r="58" spans="1:53" x14ac:dyDescent="0.25">
      <c r="A58" s="2"/>
      <c r="B58" s="2"/>
      <c r="C58" s="2"/>
      <c r="D58" s="2"/>
      <c r="E58" s="2"/>
      <c r="F58" s="111"/>
      <c r="G58" s="2"/>
      <c r="H58" s="2"/>
      <c r="I58" s="2"/>
      <c r="J58" s="2"/>
      <c r="K58" s="2"/>
      <c r="L58" s="111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</row>
    <row r="59" spans="1:53" x14ac:dyDescent="0.25">
      <c r="A59" s="2"/>
      <c r="B59" s="2"/>
      <c r="C59" s="2"/>
      <c r="D59" s="2"/>
      <c r="E59" s="2"/>
      <c r="F59" s="111"/>
      <c r="G59" s="2"/>
      <c r="H59" s="2"/>
      <c r="I59" s="2"/>
      <c r="J59" s="2"/>
      <c r="K59" s="2"/>
      <c r="L59" s="111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</row>
    <row r="60" spans="1:53" x14ac:dyDescent="0.25">
      <c r="A60" s="2"/>
      <c r="B60" s="2"/>
      <c r="C60" s="2"/>
      <c r="D60" s="2"/>
      <c r="E60" s="2"/>
      <c r="F60" s="111"/>
      <c r="G60" s="2"/>
      <c r="H60" s="2"/>
      <c r="I60" s="2"/>
      <c r="J60" s="2"/>
      <c r="K60" s="2"/>
      <c r="L60" s="111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</row>
    <row r="61" spans="1:53" x14ac:dyDescent="0.25">
      <c r="A61" s="2"/>
      <c r="B61" s="2"/>
      <c r="C61" s="2"/>
      <c r="D61" s="2"/>
      <c r="E61" s="2"/>
      <c r="F61" s="111"/>
      <c r="G61" s="2"/>
      <c r="H61" s="2"/>
      <c r="I61" s="2"/>
      <c r="J61" s="2"/>
      <c r="K61" s="2"/>
      <c r="L61" s="111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</row>
    <row r="62" spans="1:53" x14ac:dyDescent="0.25">
      <c r="A62" s="2"/>
      <c r="B62" s="2"/>
      <c r="C62" s="2"/>
      <c r="D62" s="2"/>
      <c r="E62" s="2"/>
      <c r="F62" s="111"/>
      <c r="G62" s="2"/>
      <c r="H62" s="2"/>
      <c r="I62" s="2"/>
      <c r="J62" s="2"/>
      <c r="K62" s="2"/>
      <c r="L62" s="111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</row>
    <row r="63" spans="1:53" x14ac:dyDescent="0.25">
      <c r="A63" s="2"/>
      <c r="B63" s="2"/>
      <c r="C63" s="2"/>
      <c r="D63" s="2"/>
      <c r="E63" s="2"/>
      <c r="F63" s="111"/>
      <c r="G63" s="2"/>
      <c r="H63" s="2"/>
      <c r="I63" s="2"/>
      <c r="J63" s="2"/>
      <c r="K63" s="2"/>
      <c r="L63" s="111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</row>
    <row r="64" spans="1:53" x14ac:dyDescent="0.25">
      <c r="A64" s="2"/>
      <c r="B64" s="2"/>
      <c r="C64" s="2"/>
      <c r="D64" s="2"/>
      <c r="E64" s="2"/>
      <c r="F64" s="111"/>
      <c r="G64" s="2"/>
      <c r="H64" s="2"/>
      <c r="I64" s="2"/>
      <c r="J64" s="2"/>
      <c r="K64" s="2"/>
      <c r="L64" s="111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</row>
    <row r="65" spans="1:53" x14ac:dyDescent="0.25">
      <c r="A65" s="2"/>
      <c r="B65" s="2"/>
      <c r="C65" s="2"/>
      <c r="D65" s="2"/>
      <c r="E65" s="2"/>
      <c r="F65" s="111"/>
      <c r="G65" s="2"/>
      <c r="H65" s="2"/>
      <c r="I65" s="2"/>
      <c r="J65" s="2"/>
      <c r="K65" s="2"/>
      <c r="L65" s="111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</row>
    <row r="66" spans="1:53" x14ac:dyDescent="0.25">
      <c r="A66" s="2"/>
      <c r="B66" s="2"/>
      <c r="C66" s="2"/>
      <c r="D66" s="2"/>
      <c r="E66" s="2"/>
      <c r="F66" s="111"/>
      <c r="G66" s="2"/>
      <c r="H66" s="2"/>
      <c r="I66" s="2"/>
      <c r="J66" s="2"/>
      <c r="K66" s="2"/>
      <c r="L66" s="111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</row>
    <row r="67" spans="1:53" x14ac:dyDescent="0.25">
      <c r="A67" s="2"/>
      <c r="B67" s="2"/>
      <c r="C67" s="2"/>
      <c r="D67" s="2"/>
      <c r="E67" s="2"/>
      <c r="F67" s="111"/>
      <c r="G67" s="2"/>
      <c r="H67" s="2"/>
      <c r="I67" s="2"/>
      <c r="J67" s="2"/>
      <c r="K67" s="2"/>
      <c r="L67" s="111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</row>
    <row r="68" spans="1:53" x14ac:dyDescent="0.25">
      <c r="A68" s="2"/>
      <c r="B68" s="2"/>
      <c r="C68" s="2"/>
      <c r="D68" s="2"/>
      <c r="E68" s="2"/>
      <c r="F68" s="111"/>
      <c r="G68" s="2"/>
      <c r="H68" s="2"/>
      <c r="I68" s="2"/>
      <c r="J68" s="2"/>
      <c r="K68" s="2"/>
      <c r="L68" s="111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</row>
    <row r="69" spans="1:53" x14ac:dyDescent="0.25">
      <c r="A69" s="2"/>
      <c r="B69" s="2"/>
      <c r="C69" s="2"/>
      <c r="D69" s="2"/>
      <c r="E69" s="2"/>
      <c r="F69" s="111"/>
      <c r="G69" s="2"/>
      <c r="H69" s="2"/>
      <c r="I69" s="2"/>
      <c r="J69" s="2"/>
      <c r="K69" s="2"/>
      <c r="L69" s="111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</row>
    <row r="70" spans="1:53" x14ac:dyDescent="0.25">
      <c r="A70" s="2"/>
      <c r="B70" s="2"/>
      <c r="C70" s="2"/>
      <c r="D70" s="2"/>
      <c r="E70" s="2"/>
      <c r="F70" s="111"/>
      <c r="G70" s="2"/>
      <c r="H70" s="2"/>
      <c r="I70" s="2"/>
      <c r="J70" s="2"/>
      <c r="K70" s="2"/>
      <c r="L70" s="111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</row>
    <row r="71" spans="1:53" x14ac:dyDescent="0.25">
      <c r="A71" s="2"/>
      <c r="B71" s="2"/>
      <c r="C71" s="2"/>
      <c r="D71" s="2"/>
      <c r="E71" s="2"/>
      <c r="F71" s="111"/>
      <c r="G71" s="2"/>
      <c r="H71" s="2"/>
      <c r="I71" s="2"/>
      <c r="J71" s="2"/>
      <c r="K71" s="2"/>
      <c r="L71" s="111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</row>
    <row r="72" spans="1:53" x14ac:dyDescent="0.25">
      <c r="A72" s="2"/>
      <c r="B72" s="2"/>
      <c r="C72" s="2"/>
      <c r="D72" s="2"/>
      <c r="E72" s="2"/>
      <c r="F72" s="111"/>
      <c r="G72" s="2"/>
      <c r="H72" s="2"/>
      <c r="I72" s="2"/>
      <c r="J72" s="2"/>
      <c r="K72" s="2"/>
      <c r="L72" s="111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</row>
    <row r="73" spans="1:53" x14ac:dyDescent="0.25">
      <c r="A73" s="2"/>
      <c r="B73" s="2"/>
      <c r="C73" s="2"/>
      <c r="D73" s="2"/>
      <c r="E73" s="2"/>
      <c r="F73" s="111"/>
      <c r="G73" s="2"/>
      <c r="H73" s="2"/>
      <c r="I73" s="2"/>
      <c r="J73" s="2"/>
      <c r="K73" s="2"/>
      <c r="L73" s="111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</row>
    <row r="74" spans="1:53" x14ac:dyDescent="0.25">
      <c r="A74" s="2"/>
      <c r="B74" s="2"/>
      <c r="C74" s="2"/>
      <c r="D74" s="2"/>
      <c r="E74" s="2"/>
      <c r="F74" s="111"/>
      <c r="G74" s="2"/>
      <c r="H74" s="2"/>
      <c r="I74" s="2"/>
      <c r="J74" s="2"/>
      <c r="K74" s="2"/>
      <c r="L74" s="111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</row>
    <row r="75" spans="1:53" x14ac:dyDescent="0.25">
      <c r="A75" s="2"/>
      <c r="B75" s="2"/>
      <c r="C75" s="2"/>
      <c r="D75" s="2"/>
      <c r="E75" s="2"/>
      <c r="F75" s="111"/>
      <c r="G75" s="2"/>
      <c r="H75" s="2"/>
      <c r="I75" s="2"/>
      <c r="J75" s="2"/>
      <c r="K75" s="2"/>
      <c r="L75" s="111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</row>
    <row r="76" spans="1:53" x14ac:dyDescent="0.25">
      <c r="A76" s="2"/>
      <c r="B76" s="2"/>
      <c r="C76" s="2"/>
      <c r="D76" s="2"/>
      <c r="E76" s="2"/>
      <c r="F76" s="111"/>
      <c r="G76" s="2"/>
      <c r="H76" s="2"/>
      <c r="I76" s="2"/>
      <c r="J76" s="2"/>
      <c r="K76" s="2"/>
      <c r="L76" s="111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</row>
    <row r="77" spans="1:53" x14ac:dyDescent="0.25">
      <c r="A77" s="2"/>
      <c r="B77" s="2"/>
      <c r="C77" s="2"/>
      <c r="D77" s="2"/>
      <c r="E77" s="2"/>
      <c r="F77" s="111"/>
      <c r="G77" s="2"/>
      <c r="H77" s="2"/>
      <c r="I77" s="2"/>
      <c r="J77" s="2"/>
      <c r="K77" s="2"/>
      <c r="L77" s="111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</row>
    <row r="78" spans="1:53" x14ac:dyDescent="0.25">
      <c r="A78" s="2"/>
      <c r="B78" s="2"/>
      <c r="C78" s="2"/>
      <c r="D78" s="2"/>
      <c r="E78" s="2"/>
      <c r="F78" s="111"/>
      <c r="G78" s="2"/>
      <c r="H78" s="2"/>
      <c r="I78" s="2"/>
      <c r="J78" s="2"/>
      <c r="K78" s="2"/>
      <c r="L78" s="111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</row>
    <row r="79" spans="1:53" x14ac:dyDescent="0.25">
      <c r="A79" s="2"/>
      <c r="B79" s="2"/>
      <c r="C79" s="2"/>
      <c r="D79" s="2"/>
      <c r="E79" s="2"/>
      <c r="F79" s="111"/>
      <c r="G79" s="2"/>
      <c r="H79" s="2"/>
      <c r="I79" s="2"/>
      <c r="J79" s="2"/>
      <c r="K79" s="2"/>
      <c r="L79" s="111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</row>
    <row r="80" spans="1:53" x14ac:dyDescent="0.25">
      <c r="A80" s="2"/>
      <c r="B80" s="2"/>
      <c r="C80" s="2"/>
      <c r="D80" s="2"/>
      <c r="E80" s="2"/>
      <c r="F80" s="111"/>
      <c r="G80" s="2"/>
      <c r="H80" s="2"/>
      <c r="I80" s="2"/>
      <c r="J80" s="2"/>
      <c r="K80" s="2"/>
      <c r="L80" s="111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</row>
    <row r="81" spans="1:53" x14ac:dyDescent="0.25">
      <c r="A81" s="2"/>
      <c r="B81" s="2"/>
      <c r="C81" s="2"/>
      <c r="D81" s="2"/>
      <c r="E81" s="2"/>
      <c r="F81" s="111"/>
      <c r="G81" s="2"/>
      <c r="H81" s="2"/>
      <c r="I81" s="2"/>
      <c r="J81" s="2"/>
      <c r="K81" s="2"/>
      <c r="L81" s="111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</row>
  </sheetData>
  <mergeCells count="9">
    <mergeCell ref="S38:V38"/>
    <mergeCell ref="M5:Q5"/>
    <mergeCell ref="G5:K5"/>
    <mergeCell ref="B2:Q2"/>
    <mergeCell ref="B5:E5"/>
    <mergeCell ref="C18:D18"/>
    <mergeCell ref="B20:B26"/>
    <mergeCell ref="S26:T26"/>
    <mergeCell ref="S13:T13"/>
  </mergeCells>
  <conditionalFormatting sqref="P15:Q15 D15:N15">
    <cfRule type="expression" dxfId="38" priority="100">
      <formula>$T$23="conflit"</formula>
    </cfRule>
  </conditionalFormatting>
  <conditionalFormatting sqref="P14:Q14 D14:N14">
    <cfRule type="expression" dxfId="37" priority="102">
      <formula>$T$22="conflit"</formula>
    </cfRule>
  </conditionalFormatting>
  <conditionalFormatting sqref="O7">
    <cfRule type="expression" dxfId="36" priority="11">
      <formula>$T$28="obsolete"</formula>
    </cfRule>
  </conditionalFormatting>
  <conditionalFormatting sqref="D15:Q15">
    <cfRule type="expression" dxfId="35" priority="160">
      <formula>$V$47="erreur"</formula>
    </cfRule>
    <cfRule type="expression" dxfId="34" priority="161">
      <formula>$T$35="obsolete"</formula>
    </cfRule>
  </conditionalFormatting>
  <conditionalFormatting sqref="D14:Q14">
    <cfRule type="expression" dxfId="33" priority="170">
      <formula>$V$46="erreur"</formula>
    </cfRule>
    <cfRule type="expression" dxfId="32" priority="171">
      <formula>$S$34="obsolete"</formula>
    </cfRule>
  </conditionalFormatting>
  <conditionalFormatting sqref="B13:Q13">
    <cfRule type="expression" dxfId="31" priority="174">
      <formula>$T$21="conflit"</formula>
    </cfRule>
    <cfRule type="expression" dxfId="30" priority="175">
      <formula>$V$45="erreur"</formula>
    </cfRule>
    <cfRule type="expression" dxfId="29" priority="176">
      <formula>$T$33="obsolete"</formula>
    </cfRule>
  </conditionalFormatting>
  <conditionalFormatting sqref="B12:Q12">
    <cfRule type="expression" dxfId="28" priority="180">
      <formula>$T$20="conflit"</formula>
    </cfRule>
    <cfRule type="expression" dxfId="27" priority="181">
      <formula>$V$44="erreur"</formula>
    </cfRule>
    <cfRule type="expression" dxfId="26" priority="182">
      <formula>$T$32="obsolete"</formula>
    </cfRule>
  </conditionalFormatting>
  <conditionalFormatting sqref="B11:Q11">
    <cfRule type="expression" dxfId="25" priority="186">
      <formula>$T$18="conflit"</formula>
    </cfRule>
    <cfRule type="expression" dxfId="24" priority="187">
      <formula>$V$43="erreur"</formula>
    </cfRule>
    <cfRule type="expression" dxfId="23" priority="188">
      <formula>$S$31="obsolete"</formula>
    </cfRule>
  </conditionalFormatting>
  <conditionalFormatting sqref="B9:Q9">
    <cfRule type="expression" dxfId="22" priority="192">
      <formula>$T$16="conflit"</formula>
    </cfRule>
    <cfRule type="expression" dxfId="21" priority="193">
      <formula>$V$41="erreur"</formula>
    </cfRule>
    <cfRule type="expression" dxfId="20" priority="194">
      <formula>$T$29="obsolete"</formula>
    </cfRule>
  </conditionalFormatting>
  <conditionalFormatting sqref="B8:Q8">
    <cfRule type="expression" dxfId="19" priority="198">
      <formula>$T$15="conflit"</formula>
    </cfRule>
    <cfRule type="expression" dxfId="18" priority="199">
      <formula>$V$40="erreur"</formula>
    </cfRule>
    <cfRule type="expression" dxfId="17" priority="200">
      <formula>$T$28="obsolete"</formula>
    </cfRule>
  </conditionalFormatting>
  <conditionalFormatting sqref="B10:Q10">
    <cfRule type="expression" dxfId="16" priority="204">
      <formula>$V$42="erreur"</formula>
    </cfRule>
    <cfRule type="expression" dxfId="15" priority="205">
      <formula>$T$17="conflit"</formula>
    </cfRule>
    <cfRule type="expression" dxfId="14" priority="206">
      <formula>$T$30="obsolete"</formula>
    </cfRule>
  </conditionalFormatting>
  <conditionalFormatting sqref="B7:Q7">
    <cfRule type="expression" dxfId="13" priority="210">
      <formula>$T$27="obsolete"</formula>
    </cfRule>
    <cfRule type="expression" dxfId="12" priority="211">
      <formula>$T$14="conflit"</formula>
    </cfRule>
    <cfRule type="expression" dxfId="11" priority="212">
      <formula>$V$39="erreur"</formula>
    </cfRule>
  </conditionalFormatting>
  <dataValidations count="5">
    <dataValidation type="list" allowBlank="1" showInputMessage="1" showErrorMessage="1" sqref="C7:C15 B29:B31">
      <formula1>Code</formula1>
    </dataValidation>
    <dataValidation type="list" allowBlank="1" showInputMessage="1" showErrorMessage="1" sqref="G7:G15 M7:M15">
      <formula1>JoursSemaine</formula1>
    </dataValidation>
    <dataValidation type="list" allowBlank="1" showInputMessage="1" showErrorMessage="1" sqref="H7:H15 N7:N15">
      <formula1>HeureDébut</formula1>
    </dataValidation>
    <dataValidation type="whole" allowBlank="1" showInputMessage="1" showErrorMessage="1" errorTitle="La valeur ne correspond pas" error="Veuillez inséré un nombre de cours correspondant à sa période relative" sqref="I7:I15 O10:O15">
      <formula1>0</formula1>
      <formula2>E7</formula2>
    </dataValidation>
    <dataValidation type="list" allowBlank="1" showInputMessage="1" showErrorMessage="1" sqref="K7:K15 Q7:Q15">
      <formula1>ListeLocaux</formula1>
    </dataValidation>
  </dataValidations>
  <pageMargins left="0.7" right="0.7" top="0.75" bottom="0.75" header="0.3" footer="0.3"/>
  <pageSetup paperSize="11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W162"/>
  <sheetViews>
    <sheetView showGridLines="0" tabSelected="1" topLeftCell="M4" zoomScale="70" zoomScaleNormal="70" workbookViewId="0">
      <selection activeCell="W23" sqref="W23"/>
    </sheetView>
  </sheetViews>
  <sheetFormatPr baseColWidth="10" defaultRowHeight="15" x14ac:dyDescent="0.25"/>
  <cols>
    <col min="1" max="1" width="0.7109375" hidden="1" customWidth="1"/>
    <col min="2" max="2" width="4.28515625" hidden="1" customWidth="1"/>
    <col min="3" max="12" width="11.42578125" hidden="1" customWidth="1"/>
    <col min="13" max="13" width="1.42578125" customWidth="1"/>
    <col min="14" max="14" width="10.7109375" customWidth="1"/>
    <col min="15" max="15" width="8.5703125" customWidth="1"/>
    <col min="16" max="16" width="0.5703125" customWidth="1"/>
    <col min="17" max="23" width="33.7109375" customWidth="1"/>
  </cols>
  <sheetData>
    <row r="2" spans="2:23" ht="45" customHeight="1" x14ac:dyDescent="0.25">
      <c r="N2" s="71" t="s">
        <v>162</v>
      </c>
      <c r="O2" s="71"/>
      <c r="P2" s="71"/>
      <c r="Q2" s="71"/>
      <c r="R2" s="71"/>
      <c r="S2" s="71"/>
      <c r="T2" s="71"/>
      <c r="U2" s="71"/>
      <c r="V2" s="71"/>
      <c r="W2" s="71"/>
    </row>
    <row r="4" spans="2:23" ht="29.25" thickBot="1" x14ac:dyDescent="0.3">
      <c r="B4" s="155" t="s">
        <v>164</v>
      </c>
      <c r="C4" s="156"/>
      <c r="D4" s="156"/>
      <c r="E4" s="156"/>
      <c r="F4" s="156"/>
      <c r="G4" s="156"/>
      <c r="H4" s="156"/>
      <c r="I4" s="157"/>
      <c r="N4" s="137"/>
      <c r="O4" s="138"/>
      <c r="P4" s="11"/>
      <c r="Q4" s="143" t="s">
        <v>122</v>
      </c>
      <c r="R4" s="143" t="s">
        <v>123</v>
      </c>
      <c r="S4" s="143" t="s">
        <v>124</v>
      </c>
      <c r="T4" s="143" t="s">
        <v>125</v>
      </c>
      <c r="U4" s="143" t="s">
        <v>126</v>
      </c>
      <c r="V4" s="143" t="s">
        <v>127</v>
      </c>
      <c r="W4" s="144" t="s">
        <v>121</v>
      </c>
    </row>
    <row r="5" spans="2:23" ht="22.5" thickTop="1" thickBot="1" x14ac:dyDescent="0.3">
      <c r="B5" s="12"/>
      <c r="C5" s="13">
        <v>1</v>
      </c>
      <c r="D5" s="13">
        <v>2</v>
      </c>
      <c r="E5" s="13">
        <v>3</v>
      </c>
      <c r="F5" s="13">
        <v>4</v>
      </c>
      <c r="G5" s="13">
        <v>5</v>
      </c>
      <c r="H5" s="13">
        <v>6</v>
      </c>
      <c r="I5" s="14">
        <v>7</v>
      </c>
      <c r="K5" s="2"/>
      <c r="L5" s="2"/>
      <c r="M5" s="2"/>
      <c r="N5" s="139">
        <v>0.33333333333333331</v>
      </c>
      <c r="O5" s="140">
        <v>0.36805555555555558</v>
      </c>
      <c r="P5" s="135"/>
      <c r="Q5" s="146" t="str">
        <f>IF(C59="libre","-",IF(C59="CONFLIT","Conflit",INDEX($C$20:$C$28,MATCH(C59,$B$20:$B$28,0))))</f>
        <v>Langue anglaise et communication</v>
      </c>
      <c r="R5" s="146" t="str">
        <f>IF(D59="libre","-",IF(D59="CONFLIT","Conflit",INDEX($C$20:$C$28,MATCH(D59,$B$20:$B$28,0))))</f>
        <v>Administration de bases de données</v>
      </c>
      <c r="S5" s="146" t="str">
        <f>IF(E59="libre","-",IF(E59="CONFLIT","Conflit",INDEX($C$20:$C$28,MATCH(E59,$B$20:$B$28,0))))</f>
        <v>-</v>
      </c>
      <c r="T5" s="146" t="str">
        <f>IF(F59="libre","-",IF(F59="CONFLIT","Conflit",INDEX($C$20:$C$28,MATCH(F59,$B$20:$B$28,0))))</f>
        <v>-</v>
      </c>
      <c r="U5" s="146" t="str">
        <f>IF(G59="libre","-",IF(G59="CONFLIT","Conflit",INDEX($C$20:$C$28,MATCH(G59,$B$20:$B$28,0))))</f>
        <v>Philosophie et rationalité</v>
      </c>
      <c r="V5" s="146" t="str">
        <f>IF(H59="libre","-",IF(H59="CONFLIT","Conflit",INDEX($C$20:$C$28,MATCH(H59,$B$20:$B$28,0))))</f>
        <v>-</v>
      </c>
      <c r="W5" s="146" t="str">
        <f>IF(I59="libre","-",IF(I59="CONFLIT","Conflit",INDEX($C$20:$C$28,MATCH(I59,$B$20:$B$28,0))))</f>
        <v>-</v>
      </c>
    </row>
    <row r="6" spans="2:23" ht="22.5" thickTop="1" thickBot="1" x14ac:dyDescent="0.3">
      <c r="B6" s="12">
        <v>1</v>
      </c>
      <c r="C6" s="13">
        <f>$B6+C$5*100</f>
        <v>101</v>
      </c>
      <c r="D6" s="13">
        <f>$B6+D$5*100</f>
        <v>201</v>
      </c>
      <c r="E6" s="13">
        <f>$B6+E$5*100</f>
        <v>301</v>
      </c>
      <c r="F6" s="13">
        <f>$B6+F$5*100</f>
        <v>401</v>
      </c>
      <c r="G6" s="13">
        <f>$B6+G$5*100</f>
        <v>501</v>
      </c>
      <c r="H6" s="13">
        <f>$B6+H$5*100</f>
        <v>601</v>
      </c>
      <c r="I6" s="14">
        <f>$B6+I$5*100</f>
        <v>701</v>
      </c>
      <c r="K6" s="2"/>
      <c r="L6" s="2"/>
      <c r="M6" s="2"/>
      <c r="N6" s="139">
        <v>0.37152777777777773</v>
      </c>
      <c r="O6" s="140">
        <v>0.40625</v>
      </c>
      <c r="P6" s="135"/>
      <c r="Q6" s="146" t="str">
        <f>IF(C60="libre","-",IF(C60="CONFLIT","Conflit",INDEX($C$20:$C$28,MATCH(C60,$B$20:$B$28,0))))</f>
        <v>Conflit</v>
      </c>
      <c r="R6" s="146" t="str">
        <f>IF(D60="libre","-",IF(D60="CONFLIT","Conflit",INDEX($C$20:$C$28,MATCH(D60,$B$20:$B$28,0))))</f>
        <v>Administration de bases de données</v>
      </c>
      <c r="S6" s="146" t="str">
        <f>IF(E60="libre","-",IF(E60="CONFLIT","Conflit",INDEX($C$20:$C$28,MATCH(E60,$B$20:$B$28,0))))</f>
        <v>-</v>
      </c>
      <c r="T6" s="146" t="str">
        <f>IF(F60="libre","-",IF(F60="CONFLIT","Conflit",INDEX($C$20:$C$28,MATCH(F60,$B$20:$B$28,0))))</f>
        <v>-</v>
      </c>
      <c r="U6" s="146" t="str">
        <f>IF(G60="libre","-",IF(G60="CONFLIT","Conflit",INDEX($C$20:$C$28,MATCH(G60,$B$20:$B$28,0))))</f>
        <v>Philosophie et rationalité</v>
      </c>
      <c r="V6" s="146" t="str">
        <f>IF(H60="libre","-",IF(H60="CONFLIT","Conflit",INDEX($C$20:$C$28,MATCH(H60,$B$20:$B$28,0))))</f>
        <v>-</v>
      </c>
      <c r="W6" s="146" t="str">
        <f>IF(I60="libre","-",IF(I60="CONFLIT","Conflit",INDEX($C$20:$C$28,MATCH(I60,$B$20:$B$28,0))))</f>
        <v>-</v>
      </c>
    </row>
    <row r="7" spans="2:23" ht="22.5" thickTop="1" thickBot="1" x14ac:dyDescent="0.3">
      <c r="B7" s="12">
        <v>2</v>
      </c>
      <c r="C7" s="13">
        <f>$B7+C$5*100</f>
        <v>102</v>
      </c>
      <c r="D7" s="13">
        <f>$B7+D$5*100</f>
        <v>202</v>
      </c>
      <c r="E7" s="13">
        <f>$B7+E$5*100</f>
        <v>302</v>
      </c>
      <c r="F7" s="13">
        <f>$B7+F$5*100</f>
        <v>402</v>
      </c>
      <c r="G7" s="13">
        <f>$B7+G$5*100</f>
        <v>502</v>
      </c>
      <c r="H7" s="13">
        <f>$B7+H$5*100</f>
        <v>602</v>
      </c>
      <c r="I7" s="14">
        <f>$B7+I$5*100</f>
        <v>702</v>
      </c>
      <c r="K7" s="2"/>
      <c r="L7" s="2"/>
      <c r="M7" s="2"/>
      <c r="N7" s="139">
        <v>0.40972222222222227</v>
      </c>
      <c r="O7" s="140">
        <v>0.44444444444444442</v>
      </c>
      <c r="P7" s="135"/>
      <c r="Q7" s="146" t="str">
        <f>IF(C61="libre","-",IF(C61="CONFLIT","Conflit",INDEX($C$20:$C$28,MATCH(C61,$B$20:$B$28,0))))</f>
        <v>-</v>
      </c>
      <c r="R7" s="146" t="str">
        <f>IF(D61="libre","-",IF(D61="CONFLIT","Conflit",INDEX($C$20:$C$28,MATCH(D61,$B$20:$B$28,0))))</f>
        <v>-</v>
      </c>
      <c r="S7" s="146" t="str">
        <f>IF(E61="libre","-",IF(E61="CONFLIT","Conflit",INDEX($C$20:$C$28,MATCH(E61,$B$20:$B$28,0))))</f>
        <v>Randonnée pédestre (25$)</v>
      </c>
      <c r="T7" s="146" t="str">
        <f>IF(F61="libre","-",IF(F61="CONFLIT","Conflit",INDEX($C$20:$C$28,MATCH(F61,$B$20:$B$28,0))))</f>
        <v>-</v>
      </c>
      <c r="U7" s="146" t="str">
        <f>IF(G61="libre","-",IF(G61="CONFLIT","Conflit",INDEX($C$20:$C$28,MATCH(G61,$B$20:$B$28,0))))</f>
        <v>-</v>
      </c>
      <c r="V7" s="146" t="str">
        <f>IF(H61="libre","-",IF(H61="CONFLIT","Conflit",INDEX($C$20:$C$28,MATCH(H61,$B$20:$B$28,0))))</f>
        <v>-</v>
      </c>
      <c r="W7" s="146" t="str">
        <f>IF(I61="libre","-",IF(I61="CONFLIT","Conflit",INDEX($C$20:$C$28,MATCH(I61,$B$20:$B$28,0))))</f>
        <v>-</v>
      </c>
    </row>
    <row r="8" spans="2:23" ht="22.5" thickTop="1" thickBot="1" x14ac:dyDescent="0.3">
      <c r="B8" s="12">
        <v>3</v>
      </c>
      <c r="C8" s="13">
        <f>$B8+C$5*100</f>
        <v>103</v>
      </c>
      <c r="D8" s="13">
        <f>$B8+D$5*100</f>
        <v>203</v>
      </c>
      <c r="E8" s="13">
        <f>$B8+E$5*100</f>
        <v>303</v>
      </c>
      <c r="F8" s="13">
        <f>$B8+F$5*100</f>
        <v>403</v>
      </c>
      <c r="G8" s="13">
        <f>$B8+G$5*100</f>
        <v>503</v>
      </c>
      <c r="H8" s="13">
        <f>$B8+H$5*100</f>
        <v>603</v>
      </c>
      <c r="I8" s="14">
        <f>$B8+I$5*100</f>
        <v>703</v>
      </c>
      <c r="K8" s="2"/>
      <c r="L8" s="2"/>
      <c r="M8" s="2"/>
      <c r="N8" s="139">
        <v>0.44791666666666669</v>
      </c>
      <c r="O8" s="140">
        <v>0.4826388888888889</v>
      </c>
      <c r="P8" s="135"/>
      <c r="Q8" s="146" t="str">
        <f>IF(C62="libre","-",IF(C62="CONFLIT","Conflit",INDEX($C$20:$C$28,MATCH(C62,$B$20:$B$28,0))))</f>
        <v>-</v>
      </c>
      <c r="R8" s="146" t="str">
        <f>IF(D62="libre","-",IF(D62="CONFLIT","Conflit",INDEX($C$20:$C$28,MATCH(D62,$B$20:$B$28,0))))</f>
        <v>-</v>
      </c>
      <c r="S8" s="146" t="str">
        <f>IF(E62="libre","-",IF(E62="CONFLIT","Conflit",INDEX($C$20:$C$28,MATCH(E62,$B$20:$B$28,0))))</f>
        <v>-</v>
      </c>
      <c r="T8" s="146" t="str">
        <f>IF(F62="libre","-",IF(F62="CONFLIT","Conflit",INDEX($C$20:$C$28,MATCH(F62,$B$20:$B$28,0))))</f>
        <v>-</v>
      </c>
      <c r="U8" s="146" t="str">
        <f>IF(G62="libre","-",IF(G62="CONFLIT","Conflit",INDEX($C$20:$C$28,MATCH(G62,$B$20:$B$28,0))))</f>
        <v>-</v>
      </c>
      <c r="V8" s="146" t="str">
        <f>IF(H62="libre","-",IF(H62="CONFLIT","Conflit",INDEX($C$20:$C$28,MATCH(H62,$B$20:$B$28,0))))</f>
        <v>-</v>
      </c>
      <c r="W8" s="146" t="str">
        <f>IF(I62="libre","-",IF(I62="CONFLIT","Conflit",INDEX($C$20:$C$28,MATCH(I62,$B$20:$B$28,0))))</f>
        <v>-</v>
      </c>
    </row>
    <row r="9" spans="2:23" ht="22.5" thickTop="1" thickBot="1" x14ac:dyDescent="0.3">
      <c r="B9" s="12">
        <v>4</v>
      </c>
      <c r="C9" s="13">
        <f>$B9+C$5*100</f>
        <v>104</v>
      </c>
      <c r="D9" s="13">
        <f>$B9+D$5*100</f>
        <v>204</v>
      </c>
      <c r="E9" s="13">
        <f>$B9+E$5*100</f>
        <v>304</v>
      </c>
      <c r="F9" s="13">
        <f>$B9+F$5*100</f>
        <v>404</v>
      </c>
      <c r="G9" s="13">
        <f>$B9+G$5*100</f>
        <v>504</v>
      </c>
      <c r="H9" s="13">
        <f>$B9+H$5*100</f>
        <v>604</v>
      </c>
      <c r="I9" s="14">
        <f>$B9+I$5*100</f>
        <v>704</v>
      </c>
      <c r="K9" s="2"/>
      <c r="L9" s="2"/>
      <c r="M9" s="2"/>
      <c r="N9" s="139">
        <v>0.4861111111111111</v>
      </c>
      <c r="O9" s="140">
        <v>0.52083333333333337</v>
      </c>
      <c r="P9" s="135"/>
      <c r="Q9" s="146" t="str">
        <f>IF(C63="libre","-",IF(C63="CONFLIT","Conflit",INDEX($C$20:$C$28,MATCH(C63,$B$20:$B$28,0))))</f>
        <v>-</v>
      </c>
      <c r="R9" s="146" t="str">
        <f>IF(D63="libre","-",IF(D63="CONFLIT","Conflit",INDEX($C$20:$C$28,MATCH(D63,$B$20:$B$28,0))))</f>
        <v>-</v>
      </c>
      <c r="S9" s="146" t="str">
        <f>IF(E63="libre","-",IF(E63="CONFLIT","Conflit",INDEX($C$20:$C$28,MATCH(E63,$B$20:$B$28,0))))</f>
        <v>-</v>
      </c>
      <c r="T9" s="146" t="str">
        <f>IF(F63="libre","-",IF(F63="CONFLIT","Conflit",INDEX($C$20:$C$28,MATCH(F63,$B$20:$B$28,0))))</f>
        <v>-</v>
      </c>
      <c r="U9" s="146" t="str">
        <f>IF(G63="libre","-",IF(G63="CONFLIT","Conflit",INDEX($C$20:$C$28,MATCH(G63,$B$20:$B$28,0))))</f>
        <v>-</v>
      </c>
      <c r="V9" s="146" t="str">
        <f>IF(H63="libre","-",IF(H63="CONFLIT","Conflit",INDEX($C$20:$C$28,MATCH(H63,$B$20:$B$28,0))))</f>
        <v>-</v>
      </c>
      <c r="W9" s="146" t="str">
        <f>IF(I63="libre","-",IF(I63="CONFLIT","Conflit",INDEX($C$20:$C$28,MATCH(I63,$B$20:$B$28,0))))</f>
        <v>Administration</v>
      </c>
    </row>
    <row r="10" spans="2:23" ht="22.5" thickTop="1" thickBot="1" x14ac:dyDescent="0.3">
      <c r="B10" s="12">
        <v>5</v>
      </c>
      <c r="C10" s="13">
        <f>$B10+C$5*100</f>
        <v>105</v>
      </c>
      <c r="D10" s="13">
        <f>$B10+D$5*100</f>
        <v>205</v>
      </c>
      <c r="E10" s="13">
        <f>$B10+E$5*100</f>
        <v>305</v>
      </c>
      <c r="F10" s="13">
        <f>$B10+F$5*100</f>
        <v>405</v>
      </c>
      <c r="G10" s="13">
        <f>$B10+G$5*100</f>
        <v>505</v>
      </c>
      <c r="H10" s="13">
        <f>$B10+H$5*100</f>
        <v>605</v>
      </c>
      <c r="I10" s="14">
        <f>$B10+I$5*100</f>
        <v>705</v>
      </c>
      <c r="K10" s="2"/>
      <c r="L10" s="2"/>
      <c r="M10" s="2"/>
      <c r="N10" s="139">
        <v>0.52430555555555558</v>
      </c>
      <c r="O10" s="140">
        <v>0.55902777777777779</v>
      </c>
      <c r="P10" s="135"/>
      <c r="Q10" s="146" t="str">
        <f>IF(C64="libre","-",IF(C64="CONFLIT","Conflit",INDEX($C$20:$C$28,MATCH(C64,$B$20:$B$28,0))))</f>
        <v>-</v>
      </c>
      <c r="R10" s="146" t="str">
        <f>IF(D64="libre","-",IF(D64="CONFLIT","Conflit",INDEX($C$20:$C$28,MATCH(D64,$B$20:$B$28,0))))</f>
        <v>-</v>
      </c>
      <c r="S10" s="146" t="str">
        <f>IF(E64="libre","-",IF(E64="CONFLIT","Conflit",INDEX($C$20:$C$28,MATCH(E64,$B$20:$B$28,0))))</f>
        <v>-</v>
      </c>
      <c r="T10" s="146" t="str">
        <f>IF(F64="libre","-",IF(F64="CONFLIT","Conflit",INDEX($C$20:$C$28,MATCH(F64,$B$20:$B$28,0))))</f>
        <v>-</v>
      </c>
      <c r="U10" s="146" t="str">
        <f>IF(G64="libre","-",IF(G64="CONFLIT","Conflit",INDEX($C$20:$C$28,MATCH(G64,$B$20:$B$28,0))))</f>
        <v>-</v>
      </c>
      <c r="V10" s="146" t="str">
        <f>IF(H64="libre","-",IF(H64="CONFLIT","Conflit",INDEX($C$20:$C$28,MATCH(H64,$B$20:$B$28,0))))</f>
        <v>-</v>
      </c>
      <c r="W10" s="146" t="str">
        <f>IF(I64="libre","-",IF(I64="CONFLIT","Conflit",INDEX($C$20:$C$28,MATCH(I64,$B$20:$B$28,0))))</f>
        <v>Administration</v>
      </c>
    </row>
    <row r="11" spans="2:23" ht="22.5" thickTop="1" thickBot="1" x14ac:dyDescent="0.3">
      <c r="B11" s="12">
        <v>6</v>
      </c>
      <c r="C11" s="13">
        <f>$B11+C$5*100</f>
        <v>106</v>
      </c>
      <c r="D11" s="13">
        <f>$B11+D$5*100</f>
        <v>206</v>
      </c>
      <c r="E11" s="13">
        <f>$B11+E$5*100</f>
        <v>306</v>
      </c>
      <c r="F11" s="13">
        <f>$B11+F$5*100</f>
        <v>406</v>
      </c>
      <c r="G11" s="13">
        <f>$B11+G$5*100</f>
        <v>506</v>
      </c>
      <c r="H11" s="13">
        <f>$B11+H$5*100</f>
        <v>606</v>
      </c>
      <c r="I11" s="14">
        <f>$B11+I$5*100</f>
        <v>706</v>
      </c>
      <c r="K11" s="2"/>
      <c r="L11" s="2"/>
      <c r="M11" s="2"/>
      <c r="N11" s="139">
        <v>0.5625</v>
      </c>
      <c r="O11" s="140">
        <v>0.59722222222222221</v>
      </c>
      <c r="P11" s="135"/>
      <c r="Q11" s="146" t="str">
        <f>IF(C65="libre","-",IF(C65="CONFLIT","Conflit",INDEX($C$20:$C$28,MATCH(C65,$B$20:$B$28,0))))</f>
        <v>-</v>
      </c>
      <c r="R11" s="146" t="str">
        <f>IF(D65="libre","-",IF(D65="CONFLIT","Conflit",INDEX($C$20:$C$28,MATCH(D65,$B$20:$B$28,0))))</f>
        <v>Outils et matériels informatiques</v>
      </c>
      <c r="S11" s="146" t="str">
        <f>IF(E65="libre","-",IF(E65="CONFLIT","Conflit",INDEX($C$20:$C$28,MATCH(E65,$B$20:$B$28,0))))</f>
        <v>Mathématique pour l'informatique 1</v>
      </c>
      <c r="T11" s="146" t="str">
        <f>IF(F65="libre","-",IF(F65="CONFLIT","Conflit",INDEX($C$20:$C$28,MATCH(F65,$B$20:$B$28,0))))</f>
        <v>-</v>
      </c>
      <c r="U11" s="146" t="str">
        <f>IF(G65="libre","-",IF(G65="CONFLIT","Conflit",INDEX($C$20:$C$28,MATCH(G65,$B$20:$B$28,0))))</f>
        <v>-</v>
      </c>
      <c r="V11" s="146" t="str">
        <f>IF(H65="libre","-",IF(H65="CONFLIT","Conflit",INDEX($C$20:$C$28,MATCH(H65,$B$20:$B$28,0))))</f>
        <v>-</v>
      </c>
      <c r="W11" s="146" t="str">
        <f>IF(I65="libre","-",IF(I65="CONFLIT","Conflit",INDEX($C$20:$C$28,MATCH(I65,$B$20:$B$28,0))))</f>
        <v>-</v>
      </c>
    </row>
    <row r="12" spans="2:23" ht="22.5" thickTop="1" thickBot="1" x14ac:dyDescent="0.3">
      <c r="B12" s="12">
        <v>7</v>
      </c>
      <c r="C12" s="13">
        <f>$B12+C$5*100</f>
        <v>107</v>
      </c>
      <c r="D12" s="13">
        <f>$B12+D$5*100</f>
        <v>207</v>
      </c>
      <c r="E12" s="13">
        <f>$B12+E$5*100</f>
        <v>307</v>
      </c>
      <c r="F12" s="13">
        <f>$B12+F$5*100</f>
        <v>407</v>
      </c>
      <c r="G12" s="13">
        <f>$B12+G$5*100</f>
        <v>507</v>
      </c>
      <c r="H12" s="13">
        <f>$B12+H$5*100</f>
        <v>607</v>
      </c>
      <c r="I12" s="14">
        <f>$B12+I$5*100</f>
        <v>707</v>
      </c>
      <c r="K12" s="2"/>
      <c r="L12" s="2"/>
      <c r="M12" s="2"/>
      <c r="N12" s="139">
        <v>0.60069444444444442</v>
      </c>
      <c r="O12" s="140">
        <v>0.63541666666666663</v>
      </c>
      <c r="P12" s="135"/>
      <c r="Q12" s="146" t="str">
        <f>IF(C66="libre","-",IF(C66="CONFLIT","Conflit",INDEX($C$20:$C$28,MATCH(C66,$B$20:$B$28,0))))</f>
        <v>-</v>
      </c>
      <c r="R12" s="146" t="str">
        <f>IF(D66="libre","-",IF(D66="CONFLIT","Conflit",INDEX($C$20:$C$28,MATCH(D66,$B$20:$B$28,0))))</f>
        <v>Outils et matériels informatiques</v>
      </c>
      <c r="S12" s="146" t="str">
        <f>IF(E66="libre","-",IF(E66="CONFLIT","Conflit",INDEX($C$20:$C$28,MATCH(E66,$B$20:$B$28,0))))</f>
        <v>Mathématique pour l'informatique 1</v>
      </c>
      <c r="T12" s="146" t="str">
        <f>IF(F66="libre","-",IF(F66="CONFLIT","Conflit",INDEX($C$20:$C$28,MATCH(F66,$B$20:$B$28,0))))</f>
        <v>-</v>
      </c>
      <c r="U12" s="146" t="str">
        <f>IF(G66="libre","-",IF(G66="CONFLIT","Conflit",INDEX($C$20:$C$28,MATCH(G66,$B$20:$B$28,0))))</f>
        <v>-</v>
      </c>
      <c r="V12" s="146" t="str">
        <f>IF(H66="libre","-",IF(H66="CONFLIT","Conflit",INDEX($C$20:$C$28,MATCH(H66,$B$20:$B$28,0))))</f>
        <v>-</v>
      </c>
      <c r="W12" s="146" t="str">
        <f>IF(I66="libre","-",IF(I66="CONFLIT","Conflit",INDEX($C$20:$C$28,MATCH(I66,$B$20:$B$28,0))))</f>
        <v>-</v>
      </c>
    </row>
    <row r="13" spans="2:23" ht="22.5" thickTop="1" thickBot="1" x14ac:dyDescent="0.3">
      <c r="B13" s="12">
        <v>8</v>
      </c>
      <c r="C13" s="13">
        <f>$B13+C$5*100</f>
        <v>108</v>
      </c>
      <c r="D13" s="13">
        <f>$B13+D$5*100</f>
        <v>208</v>
      </c>
      <c r="E13" s="13">
        <f>$B13+E$5*100</f>
        <v>308</v>
      </c>
      <c r="F13" s="13">
        <f>$B13+F$5*100</f>
        <v>408</v>
      </c>
      <c r="G13" s="13">
        <f>$B13+G$5*100</f>
        <v>508</v>
      </c>
      <c r="H13" s="13">
        <f>$B13+H$5*100</f>
        <v>608</v>
      </c>
      <c r="I13" s="14">
        <f>$B13+I$5*100</f>
        <v>708</v>
      </c>
      <c r="K13" s="2"/>
      <c r="L13" s="2"/>
      <c r="M13" s="2"/>
      <c r="N13" s="139">
        <v>0.63888888888888895</v>
      </c>
      <c r="O13" s="140">
        <v>0.67361111111111116</v>
      </c>
      <c r="P13" s="135"/>
      <c r="Q13" s="146" t="str">
        <f>IF(C67="libre","-",IF(C67="CONFLIT","Conflit",INDEX($C$20:$C$28,MATCH(C67,$B$20:$B$28,0))))</f>
        <v>-</v>
      </c>
      <c r="R13" s="146" t="str">
        <f>IF(D67="libre","-",IF(D67="CONFLIT","Conflit",INDEX($C$20:$C$28,MATCH(D67,$B$20:$B$28,0))))</f>
        <v>-</v>
      </c>
      <c r="S13" s="146" t="str">
        <f>IF(E67="libre","-",IF(E67="CONFLIT","Conflit",INDEX($C$20:$C$28,MATCH(E67,$B$20:$B$28,0))))</f>
        <v>-</v>
      </c>
      <c r="T13" s="146" t="str">
        <f>IF(F67="libre","-",IF(F67="CONFLIT","Conflit",INDEX($C$20:$C$28,MATCH(F67,$B$20:$B$28,0))))</f>
        <v>-</v>
      </c>
      <c r="U13" s="146" t="str">
        <f>IF(G67="libre","-",IF(G67="CONFLIT","Conflit",INDEX($C$20:$C$28,MATCH(G67,$B$20:$B$28,0))))</f>
        <v>Programmation structurée</v>
      </c>
      <c r="V13" s="146" t="str">
        <f>IF(H67="libre","-",IF(H67="CONFLIT","Conflit",INDEX($C$20:$C$28,MATCH(H67,$B$20:$B$28,0))))</f>
        <v>-</v>
      </c>
      <c r="W13" s="146" t="str">
        <f>IF(I67="libre","-",IF(I67="CONFLIT","Conflit",INDEX($C$20:$C$28,MATCH(I67,$B$20:$B$28,0))))</f>
        <v>-</v>
      </c>
    </row>
    <row r="14" spans="2:23" ht="22.5" thickTop="1" thickBot="1" x14ac:dyDescent="0.3">
      <c r="B14" s="12">
        <v>9</v>
      </c>
      <c r="C14" s="13">
        <f>$B14+C$5*100</f>
        <v>109</v>
      </c>
      <c r="D14" s="13">
        <f>$B14+D$5*100</f>
        <v>209</v>
      </c>
      <c r="E14" s="13">
        <f>$B14+E$5*100</f>
        <v>309</v>
      </c>
      <c r="F14" s="13">
        <f>$B14+F$5*100</f>
        <v>409</v>
      </c>
      <c r="G14" s="13">
        <f>$B14+G$5*100</f>
        <v>509</v>
      </c>
      <c r="H14" s="13">
        <f>$B14+H$5*100</f>
        <v>609</v>
      </c>
      <c r="I14" s="14">
        <f>$B14+I$5*100</f>
        <v>709</v>
      </c>
      <c r="K14" s="2"/>
      <c r="L14" s="2"/>
      <c r="M14" s="2"/>
      <c r="N14" s="139">
        <v>0.67708333333333337</v>
      </c>
      <c r="O14" s="140">
        <v>0.71180555555555547</v>
      </c>
      <c r="P14" s="135"/>
      <c r="Q14" s="146" t="str">
        <f>IF(C68="libre","-",IF(C68="CONFLIT","Conflit",INDEX($C$20:$C$28,MATCH(C68,$B$20:$B$28,0))))</f>
        <v>-</v>
      </c>
      <c r="R14" s="146" t="str">
        <f>IF(D68="libre","-",IF(D68="CONFLIT","Conflit",INDEX($C$20:$C$28,MATCH(D68,$B$20:$B$28,0))))</f>
        <v>-</v>
      </c>
      <c r="S14" s="146" t="str">
        <f>IF(E68="libre","-",IF(E68="CONFLIT","Conflit",INDEX($C$20:$C$28,MATCH(E68,$B$20:$B$28,0))))</f>
        <v>-</v>
      </c>
      <c r="T14" s="146" t="str">
        <f>IF(F68="libre","-",IF(F68="CONFLIT","Conflit",INDEX($C$20:$C$28,MATCH(F68,$B$20:$B$28,0))))</f>
        <v>-</v>
      </c>
      <c r="U14" s="146" t="str">
        <f>IF(G68="libre","-",IF(G68="CONFLIT","Conflit",INDEX($C$20:$C$28,MATCH(G68,$B$20:$B$28,0))))</f>
        <v>Programmation structurée</v>
      </c>
      <c r="V14" s="146" t="str">
        <f>IF(H68="libre","-",IF(H68="CONFLIT","Conflit",INDEX($C$20:$C$28,MATCH(H68,$B$20:$B$28,0))))</f>
        <v>-</v>
      </c>
      <c r="W14" s="146" t="str">
        <f>IF(I68="libre","-",IF(I68="CONFLIT","Conflit",INDEX($C$20:$C$28,MATCH(I68,$B$20:$B$28,0))))</f>
        <v>-</v>
      </c>
    </row>
    <row r="15" spans="2:23" ht="22.5" thickTop="1" thickBot="1" x14ac:dyDescent="0.3">
      <c r="B15" s="12">
        <v>10</v>
      </c>
      <c r="C15" s="13">
        <f>$B15+C$5*100</f>
        <v>110</v>
      </c>
      <c r="D15" s="13">
        <f>$B15+D$5*100</f>
        <v>210</v>
      </c>
      <c r="E15" s="13">
        <f>$B15+E$5*100</f>
        <v>310</v>
      </c>
      <c r="F15" s="13">
        <f>$B15+F$5*100</f>
        <v>410</v>
      </c>
      <c r="G15" s="13">
        <f>$B15+G$5*100</f>
        <v>510</v>
      </c>
      <c r="H15" s="13">
        <f>$B15+H$5*100</f>
        <v>610</v>
      </c>
      <c r="I15" s="14">
        <f>$B15+I$5*100</f>
        <v>710</v>
      </c>
      <c r="K15" s="2"/>
      <c r="L15" s="2"/>
      <c r="M15" s="2"/>
      <c r="N15" s="141">
        <v>0.71527777777777779</v>
      </c>
      <c r="O15" s="142">
        <v>0.75</v>
      </c>
      <c r="P15" s="136"/>
      <c r="Q15" s="146" t="str">
        <f>IF(C69="libre","-",IF(C69="CONFLIT","Conflit",INDEX($C$20:$C$28,MATCH(C69,$B$20:$B$28,0))))</f>
        <v>-</v>
      </c>
      <c r="R15" s="146" t="str">
        <f>IF(D69="libre","-",IF(D69="CONFLIT","Conflit",INDEX($C$20:$C$28,MATCH(D69,$B$20:$B$28,0))))</f>
        <v>-</v>
      </c>
      <c r="S15" s="146" t="str">
        <f>IF(E69="libre","-",IF(E69="CONFLIT","Conflit",INDEX($C$20:$C$28,MATCH(E69,$B$20:$B$28,0))))</f>
        <v>-</v>
      </c>
      <c r="T15" s="146" t="str">
        <f>IF(F69="libre","-",IF(F69="CONFLIT","Conflit",INDEX($C$20:$C$28,MATCH(F69,$B$20:$B$28,0))))</f>
        <v>-</v>
      </c>
      <c r="U15" s="146" t="str">
        <f>IF(G69="libre","-",IF(G69="CONFLIT","Conflit",INDEX($C$20:$C$28,MATCH(G69,$B$20:$B$28,0))))</f>
        <v>Programmation structurée</v>
      </c>
      <c r="V15" s="146" t="str">
        <f>IF(H69="libre","-",IF(H69="CONFLIT","Conflit",INDEX($C$20:$C$28,MATCH(H69,$B$20:$B$28,0))))</f>
        <v>-</v>
      </c>
      <c r="W15" s="146" t="str">
        <f>IF(I69="libre","-",IF(I69="CONFLIT","Conflit",INDEX($C$20:$C$28,MATCH(I69,$B$20:$B$28,0))))</f>
        <v>-</v>
      </c>
    </row>
    <row r="16" spans="2:23" ht="15.75" thickTop="1" x14ac:dyDescent="0.25">
      <c r="B16" s="15">
        <v>11</v>
      </c>
      <c r="C16" s="16">
        <f>$B16+C$5*100</f>
        <v>111</v>
      </c>
      <c r="D16" s="16">
        <f>$B16+D$5*100</f>
        <v>211</v>
      </c>
      <c r="E16" s="16">
        <f>$B16+E$5*100</f>
        <v>311</v>
      </c>
      <c r="F16" s="16">
        <f>$B16+F$5*100</f>
        <v>411</v>
      </c>
      <c r="G16" s="16">
        <f>$B16+G$5*100</f>
        <v>511</v>
      </c>
      <c r="H16" s="16">
        <f>$B16+H$5*100</f>
        <v>611</v>
      </c>
      <c r="I16" s="17">
        <f>$B16+I$5*100</f>
        <v>711</v>
      </c>
      <c r="K16" s="2"/>
      <c r="L16" s="2"/>
      <c r="M16" s="2"/>
    </row>
    <row r="17" spans="2:23" x14ac:dyDescent="0.25">
      <c r="B17" s="2"/>
      <c r="K17" s="2"/>
      <c r="L17" s="2"/>
      <c r="M17" s="2"/>
    </row>
    <row r="18" spans="2:23" x14ac:dyDescent="0.25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</row>
    <row r="19" spans="2:23" x14ac:dyDescent="0.25">
      <c r="B19" s="150" t="s">
        <v>165</v>
      </c>
      <c r="C19" s="151"/>
      <c r="D19" s="151"/>
      <c r="E19" s="151"/>
      <c r="F19" s="151"/>
      <c r="G19" s="151"/>
      <c r="H19" s="151"/>
      <c r="I19" s="151"/>
      <c r="J19" s="151"/>
      <c r="K19" s="151"/>
      <c r="L19" s="152"/>
      <c r="M19" s="2"/>
      <c r="Q19" s="180"/>
      <c r="R19" s="180"/>
      <c r="S19" s="180"/>
      <c r="T19" s="180"/>
      <c r="U19" s="180"/>
      <c r="V19" s="180"/>
      <c r="W19" s="18"/>
    </row>
    <row r="20" spans="2:23" x14ac:dyDescent="0.25">
      <c r="B20" s="25">
        <f>Planification!B7</f>
        <v>1</v>
      </c>
      <c r="C20" s="96" t="str">
        <f>Planification!D7</f>
        <v>Écriture et littérature</v>
      </c>
      <c r="D20" s="96">
        <f>IF(Planification!$I7&gt;=1,INDEX(Pramètres!$I$25:$I$35,MATCH(Planification!$H7,HeureDébut,0))+INDEX(NbJoursSemaine,MATCH(Planification!$G7,JoursSemaine,0))*100,"libre")</f>
        <v>102</v>
      </c>
      <c r="E20" s="96" t="str">
        <f>IF(Planification!$I7&gt;=2,1+INDEX(Pramètres!$I$25:$I$35,MATCH(Planification!$H7,HeureDébut,0))+INDEX(NbJoursSemaine,MATCH(Planification!$G7,JoursSemaine,0))*100,"libre")</f>
        <v>libre</v>
      </c>
      <c r="F20" s="96" t="str">
        <f>IF(Planification!$I7&gt;=3,2+INDEX(Pramètres!$I$25:$I$35,MATCH(Planification!$H7,HeureDébut,0))+INDEX(NbJoursSemaine,MATCH(Planification!$G7,JoursSemaine,0))*100,"libre")</f>
        <v>libre</v>
      </c>
      <c r="G20" s="96" t="str">
        <f>IF(Planification!$I7&gt;=4,3+INDEX(Pramètres!$I$25:$I$35,MATCH(Planification!$H7,HeureDébut,0))+INDEX(NbJoursSemaine,MATCH(Planification!$G7,JoursSemaine,0))*100,"libre")</f>
        <v>libre</v>
      </c>
      <c r="H20" s="96" t="str">
        <f>IF(Planification!$I7&gt;=5,4+INDEX(Pramètres!$I$25:$I$35,MATCH(Planification!$H7,HeureDébut,0))+INDEX(NbJoursSemaine,MATCH(Planification!$G7,JoursSemaine,0))*100,"libre")</f>
        <v>libre</v>
      </c>
      <c r="I20" s="96" t="str">
        <f>IF(Planification!$I7&gt;=6,5+INDEX(Pramètres!$I$25:$I$35,MATCH(Planification!$H7,HeureDébut,0))+INDEX(NbJoursSemaine,MATCH(Planification!$G7,JoursSemaine,0))*100,"libre")</f>
        <v>libre</v>
      </c>
      <c r="J20" s="96" t="str">
        <f>IF(Planification!$I7&gt;=7,6+INDEX(Pramètres!$I$25:$I$35,MATCH(Planification!$H7,HeureDébut,0))+INDEX(NbJoursSemaine,MATCH(Planification!$G7,JoursSemaine,0))*100,"libre")</f>
        <v>libre</v>
      </c>
      <c r="K20" s="96" t="str">
        <f>IF(Planification!$I7&gt;=8,6+INDEX(Pramètres!$I$25:$I$35,MATCH(Planification!$H7,HeureDébut,0))+INDEX(NbJoursSemaine,MATCH(Planification!$G7,JoursSemaine,0))*100,"libre")</f>
        <v>libre</v>
      </c>
      <c r="L20" s="24" t="str">
        <f>IF(Planification!$I7&gt;=9,7+INDEX(Pramètres!$I$25:$I$35,MATCH(Planification!$H7,HeureDébut,0))+INDEX(NbJoursSemaine,MATCH(Planification!$G7,JoursSemaine,0))*100,"libre")</f>
        <v>libre</v>
      </c>
      <c r="M20" s="2"/>
    </row>
    <row r="21" spans="2:23" x14ac:dyDescent="0.25">
      <c r="B21" s="25">
        <f>Planification!B8</f>
        <v>2</v>
      </c>
      <c r="C21" s="96" t="str">
        <f>Planification!D8</f>
        <v>Langue anglaise et communication</v>
      </c>
      <c r="D21" s="96">
        <f>IF(Planification!$I8&gt;=1,INDEX(Pramètres!$I$25:$I$35,MATCH(Planification!$H8,HeureDébut,0))+INDEX(NbJoursSemaine,MATCH(Planification!$G8,JoursSemaine,0))*100,"libre")</f>
        <v>101</v>
      </c>
      <c r="E21" s="96">
        <f>IF(Planification!$I8&gt;=2,1+INDEX(Pramètres!$I$25:$I$35,MATCH(Planification!$H8,HeureDébut,0))+INDEX(NbJoursSemaine,MATCH(Planification!$G8,JoursSemaine,0))*100,"libre")</f>
        <v>102</v>
      </c>
      <c r="F21" s="96" t="str">
        <f>IF(Planification!$I8&gt;=3,2+INDEX(Pramètres!$I$25:$I$35,MATCH(Planification!$H8,HeureDébut,0))+INDEX(NbJoursSemaine,MATCH(Planification!$G8,JoursSemaine,0))*100,"libre")</f>
        <v>libre</v>
      </c>
      <c r="G21" s="96" t="str">
        <f>IF(Planification!$I8&gt;=4,3+INDEX(Pramètres!$I$25:$I$35,MATCH(Planification!$H8,HeureDébut,0))+INDEX(NbJoursSemaine,MATCH(Planification!$G8,JoursSemaine,0))*100,"libre")</f>
        <v>libre</v>
      </c>
      <c r="H21" s="96" t="str">
        <f>IF(Planification!$I8&gt;=5,4+INDEX(Pramètres!$I$25:$I$35,MATCH(Planification!$H8,HeureDébut,0))+INDEX(NbJoursSemaine,MATCH(Planification!$G8,JoursSemaine,0))*100,"libre")</f>
        <v>libre</v>
      </c>
      <c r="I21" s="96" t="str">
        <f>IF(Planification!$I8&gt;=6,5+INDEX(Pramètres!$I$25:$I$35,MATCH(Planification!$H8,HeureDébut,0))+INDEX(NbJoursSemaine,MATCH(Planification!$G8,JoursSemaine,0))*100,"libre")</f>
        <v>libre</v>
      </c>
      <c r="J21" s="96" t="str">
        <f>IF(Planification!$I8&gt;=7,6+INDEX(Pramètres!$I$25:$I$35,MATCH(Planification!$H8,HeureDébut,0))+INDEX(NbJoursSemaine,MATCH(Planification!$G8,JoursSemaine,0))*100,"libre")</f>
        <v>libre</v>
      </c>
      <c r="K21" s="96" t="str">
        <f>IF(Planification!$I8&gt;=8,6+INDEX(Pramètres!$I$25:$I$35,MATCH(Planification!$H8,HeureDébut,0))+INDEX(NbJoursSemaine,MATCH(Planification!$G8,JoursSemaine,0))*100,"libre")</f>
        <v>libre</v>
      </c>
      <c r="L21" s="24" t="str">
        <f>IF(Planification!$I8&gt;=9,7+INDEX(Pramètres!$I$25:$I$35,MATCH(Planification!$H8,HeureDébut,0))+INDEX(NbJoursSemaine,MATCH(Planification!$G8,JoursSemaine,0))*100,"libre")</f>
        <v>libre</v>
      </c>
      <c r="M21" s="2"/>
    </row>
    <row r="22" spans="2:23" x14ac:dyDescent="0.25">
      <c r="B22" s="25">
        <f>Planification!B9</f>
        <v>3</v>
      </c>
      <c r="C22" s="96" t="str">
        <f>Planification!D9</f>
        <v>Randonnée pédestre (25$)</v>
      </c>
      <c r="D22" s="96">
        <f>IF(Planification!$I9&gt;=1,INDEX(Pramètres!$I$25:$I$35,MATCH(Planification!$H9,HeureDébut,0))+INDEX(NbJoursSemaine,MATCH(Planification!$G9,JoursSemaine,0))*100,"libre")</f>
        <v>303</v>
      </c>
      <c r="E22" s="96" t="str">
        <f>IF(Planification!$I9&gt;=2,1+INDEX(Pramètres!$I$25:$I$35,MATCH(Planification!$H9,HeureDébut,0))+INDEX(NbJoursSemaine,MATCH(Planification!$G9,JoursSemaine,0))*100,"libre")</f>
        <v>libre</v>
      </c>
      <c r="F22" s="96" t="str">
        <f>IF(Planification!$I9&gt;=3,2+INDEX(Pramètres!$I$25:$I$35,MATCH(Planification!$H9,HeureDébut,0))+INDEX(NbJoursSemaine,MATCH(Planification!$G9,JoursSemaine,0))*100,"libre")</f>
        <v>libre</v>
      </c>
      <c r="G22" s="96" t="str">
        <f>IF(Planification!$I9&gt;=4,3+INDEX(Pramètres!$I$25:$I$35,MATCH(Planification!$H9,HeureDébut,0))+INDEX(NbJoursSemaine,MATCH(Planification!$G9,JoursSemaine,0))*100,"libre")</f>
        <v>libre</v>
      </c>
      <c r="H22" s="96" t="str">
        <f>IF(Planification!$I9&gt;=5,4+INDEX(Pramètres!$I$25:$I$35,MATCH(Planification!$H9,HeureDébut,0))+INDEX(NbJoursSemaine,MATCH(Planification!$G9,JoursSemaine,0))*100,"libre")</f>
        <v>libre</v>
      </c>
      <c r="I22" s="96" t="str">
        <f>IF(Planification!$I9&gt;=6,5+INDEX(Pramètres!$I$25:$I$35,MATCH(Planification!$H9,HeureDébut,0))+INDEX(NbJoursSemaine,MATCH(Planification!$G9,JoursSemaine,0))*100,"libre")</f>
        <v>libre</v>
      </c>
      <c r="J22" s="96" t="str">
        <f>IF(Planification!$I9&gt;=7,6+INDEX(Pramètres!$I$25:$I$35,MATCH(Planification!$H9,HeureDébut,0))+INDEX(NbJoursSemaine,MATCH(Planification!$G9,JoursSemaine,0))*100,"libre")</f>
        <v>libre</v>
      </c>
      <c r="K22" s="96" t="str">
        <f>IF(Planification!$I9&gt;=8,6+INDEX(Pramètres!$I$25:$I$35,MATCH(Planification!$H9,HeureDébut,0))+INDEX(NbJoursSemaine,MATCH(Planification!$G9,JoursSemaine,0))*100,"libre")</f>
        <v>libre</v>
      </c>
      <c r="L22" s="24" t="str">
        <f>IF(Planification!$I9&gt;=9,7+INDEX(Pramètres!$I$25:$I$35,MATCH(Planification!$H9,HeureDébut,0))+INDEX(NbJoursSemaine,MATCH(Planification!$G9,JoursSemaine,0))*100,"libre")</f>
        <v>libre</v>
      </c>
      <c r="M22" s="2"/>
    </row>
    <row r="23" spans="2:23" x14ac:dyDescent="0.25">
      <c r="B23" s="25">
        <f>Planification!B10</f>
        <v>4</v>
      </c>
      <c r="C23" s="96" t="str">
        <f>Planification!D10</f>
        <v>Mathématique pour l'informatique 1</v>
      </c>
      <c r="D23" s="96">
        <f>IF(Planification!$I10&gt;=1,INDEX(Pramètres!$I$25:$I$35,MATCH(Planification!$H10,HeureDébut,0))+INDEX(NbJoursSemaine,MATCH(Planification!$G10,JoursSemaine,0))*100,"libre")</f>
        <v>307</v>
      </c>
      <c r="E23" s="96">
        <f>IF(Planification!$I10&gt;=2,1+INDEX(Pramètres!$I$25:$I$35,MATCH(Planification!$H10,HeureDébut,0))+INDEX(NbJoursSemaine,MATCH(Planification!$G10,JoursSemaine,0))*100,"libre")</f>
        <v>308</v>
      </c>
      <c r="F23" s="96" t="str">
        <f>IF(Planification!$I10&gt;=3,2+INDEX(Pramètres!$I$25:$I$35,MATCH(Planification!$H10,HeureDébut,0))+INDEX(NbJoursSemaine,MATCH(Planification!$G10,JoursSemaine,0))*100,"libre")</f>
        <v>libre</v>
      </c>
      <c r="G23" s="96" t="str">
        <f>IF(Planification!$I10&gt;=4,3+INDEX(Pramètres!$I$25:$I$35,MATCH(Planification!$H10,HeureDébut,0))+INDEX(NbJoursSemaine,MATCH(Planification!$G10,JoursSemaine,0))*100,"libre")</f>
        <v>libre</v>
      </c>
      <c r="H23" s="96" t="str">
        <f>IF(Planification!$I10&gt;=5,4+INDEX(Pramètres!$I$25:$I$35,MATCH(Planification!$H10,HeureDébut,0))+INDEX(NbJoursSemaine,MATCH(Planification!$G10,JoursSemaine,0))*100,"libre")</f>
        <v>libre</v>
      </c>
      <c r="I23" s="96" t="str">
        <f>IF(Planification!$I10&gt;=6,5+INDEX(Pramètres!$I$25:$I$35,MATCH(Planification!$H10,HeureDébut,0))+INDEX(NbJoursSemaine,MATCH(Planification!$G10,JoursSemaine,0))*100,"libre")</f>
        <v>libre</v>
      </c>
      <c r="J23" s="96" t="str">
        <f>IF(Planification!$I10&gt;=7,6+INDEX(Pramètres!$I$25:$I$35,MATCH(Planification!$H10,HeureDébut,0))+INDEX(NbJoursSemaine,MATCH(Planification!$G10,JoursSemaine,0))*100,"libre")</f>
        <v>libre</v>
      </c>
      <c r="K23" s="96" t="str">
        <f>IF(Planification!$I10&gt;=8,6+INDEX(Pramètres!$I$25:$I$35,MATCH(Planification!$H10,HeureDébut,0))+INDEX(NbJoursSemaine,MATCH(Planification!$G10,JoursSemaine,0))*100,"libre")</f>
        <v>libre</v>
      </c>
      <c r="L23" s="24" t="str">
        <f>IF(Planification!$I10&gt;=9,7+INDEX(Pramètres!$I$25:$I$35,MATCH(Planification!$H10,HeureDébut,0))+INDEX(NbJoursSemaine,MATCH(Planification!$G10,JoursSemaine,0))*100,"libre")</f>
        <v>libre</v>
      </c>
      <c r="M23" s="2"/>
    </row>
    <row r="24" spans="2:23" x14ac:dyDescent="0.25">
      <c r="B24" s="25">
        <f>Planification!B11</f>
        <v>5</v>
      </c>
      <c r="C24" s="96" t="str">
        <f>Planification!D11</f>
        <v>Administration</v>
      </c>
      <c r="D24" s="96">
        <f>IF(Planification!$I11&gt;=1,INDEX(Pramètres!$I$25:$I$35,MATCH(Planification!$H11,HeureDébut,0))+INDEX(NbJoursSemaine,MATCH(Planification!$G11,JoursSemaine,0))*100,"libre")</f>
        <v>705</v>
      </c>
      <c r="E24" s="96">
        <f>IF(Planification!$I11&gt;=2,1+INDEX(Pramètres!$I$25:$I$35,MATCH(Planification!$H11,HeureDébut,0))+INDEX(NbJoursSemaine,MATCH(Planification!$G11,JoursSemaine,0))*100,"libre")</f>
        <v>706</v>
      </c>
      <c r="F24" s="96" t="str">
        <f>IF(Planification!$I11&gt;=3,2+INDEX(Pramètres!$I$25:$I$35,MATCH(Planification!$H11,HeureDébut,0))+INDEX(NbJoursSemaine,MATCH(Planification!$G11,JoursSemaine,0))*100,"libre")</f>
        <v>libre</v>
      </c>
      <c r="G24" s="96" t="str">
        <f>IF(Planification!$I11&gt;=4,3+INDEX(Pramètres!$I$25:$I$35,MATCH(Planification!$H11,HeureDébut,0))+INDEX(NbJoursSemaine,MATCH(Planification!$G11,JoursSemaine,0))*100,"libre")</f>
        <v>libre</v>
      </c>
      <c r="H24" s="96" t="str">
        <f>IF(Planification!$I11&gt;=5,4+INDEX(Pramètres!$I$25:$I$35,MATCH(Planification!$H11,HeureDébut,0))+INDEX(NbJoursSemaine,MATCH(Planification!$G11,JoursSemaine,0))*100,"libre")</f>
        <v>libre</v>
      </c>
      <c r="I24" s="96" t="str">
        <f>IF(Planification!$I11&gt;=6,5+INDEX(Pramètres!$I$25:$I$35,MATCH(Planification!$H11,HeureDébut,0))+INDEX(NbJoursSemaine,MATCH(Planification!$G11,JoursSemaine,0))*100,"libre")</f>
        <v>libre</v>
      </c>
      <c r="J24" s="96" t="str">
        <f>IF(Planification!$I11&gt;=7,6+INDEX(Pramètres!$I$25:$I$35,MATCH(Planification!$H11,HeureDébut,0))+INDEX(NbJoursSemaine,MATCH(Planification!$G11,JoursSemaine,0))*100,"libre")</f>
        <v>libre</v>
      </c>
      <c r="K24" s="96" t="str">
        <f>IF(Planification!$I11&gt;=8,6+INDEX(Pramètres!$I$25:$I$35,MATCH(Planification!$H11,HeureDébut,0))+INDEX(NbJoursSemaine,MATCH(Planification!$G11,JoursSemaine,0))*100,"libre")</f>
        <v>libre</v>
      </c>
      <c r="L24" s="24" t="str">
        <f>IF(Planification!$I11&gt;=9,7+INDEX(Pramètres!$I$25:$I$35,MATCH(Planification!$H11,HeureDébut,0))+INDEX(NbJoursSemaine,MATCH(Planification!$G11,JoursSemaine,0))*100,"libre")</f>
        <v>libre</v>
      </c>
      <c r="M24" s="2"/>
      <c r="N24" s="3"/>
      <c r="O24" s="3"/>
      <c r="P24" s="3"/>
      <c r="Q24" s="3"/>
      <c r="R24" s="3"/>
      <c r="S24" s="3"/>
      <c r="T24" s="3"/>
      <c r="U24" s="3"/>
      <c r="V24" s="3"/>
      <c r="W24" s="3"/>
    </row>
    <row r="25" spans="2:23" x14ac:dyDescent="0.25">
      <c r="B25" s="25">
        <f>Planification!B12</f>
        <v>6</v>
      </c>
      <c r="C25" s="96" t="str">
        <f>Planification!D12</f>
        <v>Administration de bases de données</v>
      </c>
      <c r="D25" s="96">
        <f>IF(Planification!$I12&gt;=1,INDEX(Pramètres!$I$25:$I$35,MATCH(Planification!$H12,HeureDébut,0))+INDEX(NbJoursSemaine,MATCH(Planification!$G12,JoursSemaine,0))*100,"libre")</f>
        <v>201</v>
      </c>
      <c r="E25" s="96">
        <f>IF(Planification!$I12&gt;=2,1+INDEX(Pramètres!$I$25:$I$35,MATCH(Planification!$H12,HeureDébut,0))+INDEX(NbJoursSemaine,MATCH(Planification!$G12,JoursSemaine,0))*100,"libre")</f>
        <v>202</v>
      </c>
      <c r="F25" s="96" t="str">
        <f>IF(Planification!$I12&gt;=3,2+INDEX(Pramètres!$I$25:$I$35,MATCH(Planification!$H12,HeureDébut,0))+INDEX(NbJoursSemaine,MATCH(Planification!$G12,JoursSemaine,0))*100,"libre")</f>
        <v>libre</v>
      </c>
      <c r="G25" s="96" t="str">
        <f>IF(Planification!$I12&gt;=4,3+INDEX(Pramètres!$I$25:$I$35,MATCH(Planification!$H12,HeureDébut,0))+INDEX(NbJoursSemaine,MATCH(Planification!$G12,JoursSemaine,0))*100,"libre")</f>
        <v>libre</v>
      </c>
      <c r="H25" s="96" t="str">
        <f>IF(Planification!$I12&gt;=5,4+INDEX(Pramètres!$I$25:$I$35,MATCH(Planification!$H12,HeureDébut,0))+INDEX(NbJoursSemaine,MATCH(Planification!$G12,JoursSemaine,0))*100,"libre")</f>
        <v>libre</v>
      </c>
      <c r="I25" s="96" t="str">
        <f>IF(Planification!$I12&gt;=6,5+INDEX(Pramètres!$I$25:$I$35,MATCH(Planification!$H12,HeureDébut,0))+INDEX(NbJoursSemaine,MATCH(Planification!$G12,JoursSemaine,0))*100,"libre")</f>
        <v>libre</v>
      </c>
      <c r="J25" s="96" t="str">
        <f>IF(Planification!$I12&gt;=7,6+INDEX(Pramètres!$I$25:$I$35,MATCH(Planification!$H12,HeureDébut,0))+INDEX(NbJoursSemaine,MATCH(Planification!$G12,JoursSemaine,0))*100,"libre")</f>
        <v>libre</v>
      </c>
      <c r="K25" s="96" t="str">
        <f>IF(Planification!$I12&gt;=8,6+INDEX(Pramètres!$I$25:$I$35,MATCH(Planification!$H12,HeureDébut,0))+INDEX(NbJoursSemaine,MATCH(Planification!$G12,JoursSemaine,0))*100,"libre")</f>
        <v>libre</v>
      </c>
      <c r="L25" s="24" t="str">
        <f>IF(Planification!$I12&gt;=9,7+INDEX(Pramètres!$I$25:$I$35,MATCH(Planification!$H12,HeureDébut,0))+INDEX(NbJoursSemaine,MATCH(Planification!$G12,JoursSemaine,0))*100,"libre")</f>
        <v>libre</v>
      </c>
      <c r="M25" s="2"/>
      <c r="N25" s="3"/>
      <c r="O25" s="3"/>
      <c r="P25" s="3"/>
      <c r="Q25" s="3"/>
      <c r="R25" s="3"/>
      <c r="S25" s="3"/>
      <c r="T25" s="3"/>
      <c r="U25" s="3"/>
      <c r="V25" s="3"/>
      <c r="W25" s="3"/>
    </row>
    <row r="26" spans="2:23" x14ac:dyDescent="0.25">
      <c r="B26" s="25">
        <f>Planification!B13</f>
        <v>7</v>
      </c>
      <c r="C26" s="96" t="str">
        <f>Planification!D13</f>
        <v>Programmation structurée</v>
      </c>
      <c r="D26" s="96">
        <f>IF(Planification!$I13&gt;=1,INDEX(Pramètres!$I$25:$I$35,MATCH(Planification!$H13,HeureDébut,0))+INDEX(NbJoursSemaine,MATCH(Planification!$G13,JoursSemaine,0))*100,"libre")</f>
        <v>509</v>
      </c>
      <c r="E26" s="96">
        <f>IF(Planification!$I13&gt;=2,1+INDEX(Pramètres!$I$25:$I$35,MATCH(Planification!$H13,HeureDébut,0))+INDEX(NbJoursSemaine,MATCH(Planification!$G13,JoursSemaine,0))*100,"libre")</f>
        <v>510</v>
      </c>
      <c r="F26" s="96">
        <f>IF(Planification!$I13&gt;=3,2+INDEX(Pramètres!$I$25:$I$35,MATCH(Planification!$H13,HeureDébut,0))+INDEX(NbJoursSemaine,MATCH(Planification!$G13,JoursSemaine,0))*100,"libre")</f>
        <v>511</v>
      </c>
      <c r="G26" s="96" t="str">
        <f>IF(Planification!$I13&gt;=4,3+INDEX(Pramètres!$I$25:$I$35,MATCH(Planification!$H13,HeureDébut,0))+INDEX(NbJoursSemaine,MATCH(Planification!$G13,JoursSemaine,0))*100,"libre")</f>
        <v>libre</v>
      </c>
      <c r="H26" s="96" t="str">
        <f>IF(Planification!$I13&gt;=5,4+INDEX(Pramètres!$I$25:$I$35,MATCH(Planification!$H13,HeureDébut,0))+INDEX(NbJoursSemaine,MATCH(Planification!$G13,JoursSemaine,0))*100,"libre")</f>
        <v>libre</v>
      </c>
      <c r="I26" s="96" t="str">
        <f>IF(Planification!$I13&gt;=6,5+INDEX(Pramètres!$I$25:$I$35,MATCH(Planification!$H13,HeureDébut,0))+INDEX(NbJoursSemaine,MATCH(Planification!$G13,JoursSemaine,0))*100,"libre")</f>
        <v>libre</v>
      </c>
      <c r="J26" s="96" t="str">
        <f>IF(Planification!$I13&gt;=7,6+INDEX(Pramètres!$I$25:$I$35,MATCH(Planification!$H13,HeureDébut,0))+INDEX(NbJoursSemaine,MATCH(Planification!$G13,JoursSemaine,0))*100,"libre")</f>
        <v>libre</v>
      </c>
      <c r="K26" s="96" t="str">
        <f>IF(Planification!$I13&gt;=8,6+INDEX(Pramètres!$I$25:$I$35,MATCH(Planification!$H13,HeureDébut,0))+INDEX(NbJoursSemaine,MATCH(Planification!$G13,JoursSemaine,0))*100,"libre")</f>
        <v>libre</v>
      </c>
      <c r="L26" s="24" t="str">
        <f>IF(Planification!$I13&gt;=9,7+INDEX(Pramètres!$I$25:$I$35,MATCH(Planification!$H13,HeureDébut,0))+INDEX(NbJoursSemaine,MATCH(Planification!$G13,JoursSemaine,0))*100,"libre")</f>
        <v>libre</v>
      </c>
      <c r="M26" s="2"/>
      <c r="N26" s="3"/>
      <c r="O26" s="3"/>
      <c r="P26" s="3"/>
      <c r="Q26" s="3"/>
      <c r="R26" s="3"/>
      <c r="S26" s="3"/>
      <c r="T26" s="3"/>
      <c r="U26" s="3"/>
      <c r="V26" s="3"/>
      <c r="W26" s="3"/>
    </row>
    <row r="27" spans="2:23" x14ac:dyDescent="0.25">
      <c r="B27" s="25">
        <f>Planification!B14</f>
        <v>8</v>
      </c>
      <c r="C27" s="96" t="str">
        <f>Planification!D14</f>
        <v>Outils et matériels informatiques</v>
      </c>
      <c r="D27" s="96">
        <f>IF(Planification!$I14&gt;=1,INDEX(Pramètres!$I$25:$I$35,MATCH(Planification!$H14,HeureDébut,0))+INDEX(NbJoursSemaine,MATCH(Planification!$G14,JoursSemaine,0))*100,"libre")</f>
        <v>207</v>
      </c>
      <c r="E27" s="96">
        <f>IF(Planification!$I14&gt;=2,1+INDEX(Pramètres!$I$25:$I$35,MATCH(Planification!$H14,HeureDébut,0))+INDEX(NbJoursSemaine,MATCH(Planification!$G14,JoursSemaine,0))*100,"libre")</f>
        <v>208</v>
      </c>
      <c r="F27" s="96" t="str">
        <f>IF(Planification!$I14&gt;=3,2+INDEX(Pramètres!$I$25:$I$35,MATCH(Planification!$H14,HeureDébut,0))+INDEX(NbJoursSemaine,MATCH(Planification!$G14,JoursSemaine,0))*100,"libre")</f>
        <v>libre</v>
      </c>
      <c r="G27" s="96" t="str">
        <f>IF(Planification!$I14&gt;=4,3+INDEX(Pramètres!$I$25:$I$35,MATCH(Planification!$H14,HeureDébut,0))+INDEX(NbJoursSemaine,MATCH(Planification!$G14,JoursSemaine,0))*100,"libre")</f>
        <v>libre</v>
      </c>
      <c r="H27" s="96" t="str">
        <f>IF(Planification!$I14&gt;=5,4+INDEX(Pramètres!$I$25:$I$35,MATCH(Planification!$H14,HeureDébut,0))+INDEX(NbJoursSemaine,MATCH(Planification!$G14,JoursSemaine,0))*100,"libre")</f>
        <v>libre</v>
      </c>
      <c r="I27" s="96" t="str">
        <f>IF(Planification!$I14&gt;=6,5+INDEX(Pramètres!$I$25:$I$35,MATCH(Planification!$H14,HeureDébut,0))+INDEX(NbJoursSemaine,MATCH(Planification!$G14,JoursSemaine,0))*100,"libre")</f>
        <v>libre</v>
      </c>
      <c r="J27" s="96" t="str">
        <f>IF(Planification!$I14&gt;=7,6+INDEX(Pramètres!$I$25:$I$35,MATCH(Planification!$H14,HeureDébut,0))+INDEX(NbJoursSemaine,MATCH(Planification!$G14,JoursSemaine,0))*100,"libre")</f>
        <v>libre</v>
      </c>
      <c r="K27" s="96" t="str">
        <f>IF(Planification!$I14&gt;=8,6+INDEX(Pramètres!$I$25:$I$35,MATCH(Planification!$H14,HeureDébut,0))+INDEX(NbJoursSemaine,MATCH(Planification!$G14,JoursSemaine,0))*100,"libre")</f>
        <v>libre</v>
      </c>
      <c r="L27" s="24" t="str">
        <f>IF(Planification!$I14&gt;=9,7+INDEX(Pramètres!$I$25:$I$35,MATCH(Planification!$H14,HeureDébut,0))+INDEX(NbJoursSemaine,MATCH(Planification!$G14,JoursSemaine,0))*100,"libre")</f>
        <v>libre</v>
      </c>
      <c r="M27" s="2"/>
      <c r="N27" s="3"/>
      <c r="O27" s="3"/>
      <c r="P27" s="3"/>
      <c r="Q27" s="3"/>
      <c r="R27" s="3"/>
      <c r="S27" s="3"/>
      <c r="T27" s="3"/>
      <c r="U27" s="3"/>
      <c r="V27" s="3"/>
      <c r="W27" s="3"/>
    </row>
    <row r="28" spans="2:23" x14ac:dyDescent="0.25">
      <c r="B28" s="25">
        <f>Planification!B15</f>
        <v>9</v>
      </c>
      <c r="C28" s="96" t="str">
        <f>Planification!D15</f>
        <v>Philosophie et rationalité</v>
      </c>
      <c r="D28" s="96">
        <f>IF(Planification!$I15&gt;=1,INDEX(Pramètres!$I$25:$I$35,MATCH(Planification!$H15,HeureDébut,0))+INDEX(NbJoursSemaine,MATCH(Planification!$G15,JoursSemaine,0))*100,"libre")</f>
        <v>501</v>
      </c>
      <c r="E28" s="96">
        <f>IF(Planification!$I15&gt;=2,1+INDEX(Pramètres!$I$25:$I$35,MATCH(Planification!$H15,HeureDébut,0))+INDEX(NbJoursSemaine,MATCH(Planification!$G15,JoursSemaine,0))*100,"libre")</f>
        <v>502</v>
      </c>
      <c r="F28" s="96" t="str">
        <f>IF(Planification!$I15&gt;=3,2+INDEX(Pramètres!$I$25:$I$35,MATCH(Planification!$H15,HeureDébut,0))+INDEX(NbJoursSemaine,MATCH(Planification!$G15,JoursSemaine,0))*100,"libre")</f>
        <v>libre</v>
      </c>
      <c r="G28" s="96" t="str">
        <f>IF(Planification!$I15&gt;=4,3+INDEX(Pramètres!$I$25:$I$35,MATCH(Planification!$H15,HeureDébut,0))+INDEX(NbJoursSemaine,MATCH(Planification!$G15,JoursSemaine,0))*100,"libre")</f>
        <v>libre</v>
      </c>
      <c r="H28" s="96" t="str">
        <f>IF(Planification!$I15&gt;=5,4+INDEX(Pramètres!$I$25:$I$35,MATCH(Planification!$H15,HeureDébut,0))+INDEX(NbJoursSemaine,MATCH(Planification!$G15,JoursSemaine,0))*100,"libre")</f>
        <v>libre</v>
      </c>
      <c r="I28" s="96" t="str">
        <f>IF(Planification!$I15&gt;=6,5+INDEX(Pramètres!$I$25:$I$35,MATCH(Planification!$H15,HeureDébut,0))+INDEX(NbJoursSemaine,MATCH(Planification!$G15,JoursSemaine,0))*100,"libre")</f>
        <v>libre</v>
      </c>
      <c r="J28" s="96" t="str">
        <f>IF(Planification!$I15&gt;=7,6+INDEX(Pramètres!$I$25:$I$35,MATCH(Planification!$H15,HeureDébut,0))+INDEX(NbJoursSemaine,MATCH(Planification!$G15,JoursSemaine,0))*100,"libre")</f>
        <v>libre</v>
      </c>
      <c r="K28" s="96" t="str">
        <f>IF(Planification!$I15&gt;=8,6+INDEX(Pramètres!$I$25:$I$35,MATCH(Planification!$H15,HeureDébut,0))+INDEX(NbJoursSemaine,MATCH(Planification!$G15,JoursSemaine,0))*100,"libre")</f>
        <v>libre</v>
      </c>
      <c r="L28" s="24" t="str">
        <f>IF(Planification!$I15&gt;=9,7+INDEX(Pramètres!$I$25:$I$35,MATCH(Planification!$H15,HeureDébut,0))+INDEX(NbJoursSemaine,MATCH(Planification!$G15,JoursSemaine,0))*100,"libre")</f>
        <v>libre</v>
      </c>
      <c r="M28" s="2"/>
      <c r="N28" s="3"/>
      <c r="O28" s="3"/>
      <c r="P28" s="3"/>
      <c r="Q28" s="3"/>
      <c r="R28" s="3"/>
      <c r="S28" s="3"/>
      <c r="T28" s="3"/>
      <c r="U28" s="3"/>
      <c r="V28" s="3"/>
      <c r="W28" s="3"/>
    </row>
    <row r="29" spans="2:23" x14ac:dyDescent="0.25">
      <c r="B29" s="25"/>
      <c r="C29" s="96"/>
      <c r="D29" s="96"/>
      <c r="E29" s="96"/>
      <c r="F29" s="96"/>
      <c r="G29" s="96"/>
      <c r="H29" s="96"/>
      <c r="I29" s="96"/>
      <c r="J29" s="96"/>
      <c r="K29" s="96"/>
      <c r="L29" s="24"/>
      <c r="M29" s="2"/>
      <c r="N29" s="3"/>
      <c r="O29" s="3"/>
      <c r="P29" s="3"/>
      <c r="Q29" s="3"/>
      <c r="R29" s="3"/>
      <c r="S29" s="3"/>
      <c r="T29" s="3"/>
      <c r="U29" s="3"/>
      <c r="V29" s="3"/>
      <c r="W29" s="3"/>
    </row>
    <row r="30" spans="2:23" x14ac:dyDescent="0.25">
      <c r="B30" s="25"/>
      <c r="C30" s="96"/>
      <c r="D30" s="96"/>
      <c r="E30" s="96"/>
      <c r="F30" s="96"/>
      <c r="G30" s="96"/>
      <c r="H30" s="96"/>
      <c r="I30" s="96"/>
      <c r="J30" s="96"/>
      <c r="K30" s="96"/>
      <c r="L30" s="24"/>
      <c r="M30" s="2"/>
      <c r="N30" s="3"/>
      <c r="O30" s="3"/>
      <c r="P30" s="3"/>
      <c r="Q30" s="3"/>
      <c r="R30" s="3"/>
      <c r="S30" s="3"/>
      <c r="T30" s="3"/>
      <c r="U30" s="3"/>
      <c r="V30" s="3"/>
      <c r="W30" s="3"/>
    </row>
    <row r="31" spans="2:23" x14ac:dyDescent="0.25">
      <c r="B31" s="25">
        <f>Planification!B7</f>
        <v>1</v>
      </c>
      <c r="C31" s="96" t="str">
        <f t="shared" ref="C31:C39" si="0">C20</f>
        <v>Écriture et littérature</v>
      </c>
      <c r="D31" s="96">
        <f>IF(Planification!$O7&gt;=1,INDEX(Pramètres!$I$25:$I$35,MATCH(Planification!$N7,HeureDébut,0))+INDEX(NbJoursSemaine,MATCH(Planification!$M7,JoursSemaine,0))*100,"libre")</f>
        <v>402</v>
      </c>
      <c r="E31" s="96">
        <f>IF(Planification!$O7&gt;=2,1+D31,"libre")</f>
        <v>403</v>
      </c>
      <c r="F31" s="96">
        <f>IF(Planification!$O7&gt;=3,1+E31,"libre")</f>
        <v>404</v>
      </c>
      <c r="G31" s="96" t="str">
        <f>IF(Planification!$O7&gt;=4,1+F31,"libre")</f>
        <v>libre</v>
      </c>
      <c r="H31" s="96" t="str">
        <f>IF(Planification!$O7&gt;=5,1+G31,"libre")</f>
        <v>libre</v>
      </c>
      <c r="I31" s="96" t="str">
        <f>IF(Planification!$O7&gt;=6,1+H31,"libre")</f>
        <v>libre</v>
      </c>
      <c r="J31" s="96" t="str">
        <f>IF(Planification!$O7&gt;=7,1+I31,"libre")</f>
        <v>libre</v>
      </c>
      <c r="K31" s="96" t="str">
        <f>IF(Planification!$O7&gt;=8,1+J31,"libre")</f>
        <v>libre</v>
      </c>
      <c r="L31" s="24" t="str">
        <f>IF(Planification!$O7&gt;=9,1+K31,"libre")</f>
        <v>libre</v>
      </c>
      <c r="M31" s="2"/>
      <c r="N31" s="3"/>
      <c r="O31" s="3"/>
      <c r="P31" s="3"/>
      <c r="Q31" s="3"/>
      <c r="R31" s="3"/>
      <c r="S31" s="3"/>
      <c r="T31" s="3"/>
      <c r="U31" s="3"/>
      <c r="V31" s="3"/>
      <c r="W31" s="3"/>
    </row>
    <row r="32" spans="2:23" x14ac:dyDescent="0.25">
      <c r="B32" s="25">
        <f>Planification!B8</f>
        <v>2</v>
      </c>
      <c r="C32" s="96" t="str">
        <f t="shared" si="0"/>
        <v>Langue anglaise et communication</v>
      </c>
      <c r="D32" s="96">
        <f>IF(Planification!$O8&gt;=1,INDEX(Pramètres!$I$25:$I$35,MATCH(Planification!$N8,HeureDébut,0))+INDEX(NbJoursSemaine,MATCH(Planification!$M8,JoursSemaine,0))*100,"libre")</f>
        <v>503</v>
      </c>
      <c r="E32" s="96" t="str">
        <f>IF(Planification!$O8&gt;=2,1+D32,"libre")</f>
        <v>libre</v>
      </c>
      <c r="F32" s="96" t="str">
        <f>IF(Planification!$O8&gt;=3,1+E32,"libre")</f>
        <v>libre</v>
      </c>
      <c r="G32" s="96" t="str">
        <f>IF(Planification!$O8&gt;=4,1+F32,"libre")</f>
        <v>libre</v>
      </c>
      <c r="H32" s="96" t="str">
        <f>IF(Planification!$O8&gt;=5,1+G32,"libre")</f>
        <v>libre</v>
      </c>
      <c r="I32" s="96" t="str">
        <f>IF(Planification!$O8&gt;=6,1+H32,"libre")</f>
        <v>libre</v>
      </c>
      <c r="J32" s="96" t="str">
        <f>IF(Planification!$O8&gt;=7,1+I32,"libre")</f>
        <v>libre</v>
      </c>
      <c r="K32" s="96" t="str">
        <f>IF(Planification!$O8&gt;=8,1+J32,"libre")</f>
        <v>libre</v>
      </c>
      <c r="L32" s="24" t="str">
        <f>IF(Planification!$O8&gt;=9,1+K32,"libre")</f>
        <v>libre</v>
      </c>
      <c r="M32" s="2"/>
      <c r="N32" s="2"/>
    </row>
    <row r="33" spans="2:14" x14ac:dyDescent="0.25">
      <c r="B33" s="25">
        <f>Planification!B9</f>
        <v>3</v>
      </c>
      <c r="C33" s="96" t="str">
        <f t="shared" si="0"/>
        <v>Randonnée pédestre (25$)</v>
      </c>
      <c r="D33" s="96">
        <f>IF(Planification!$O9&gt;=1,INDEX(Pramètres!$I$25:$I$35,MATCH(Planification!$N9,HeureDébut,0))+INDEX(NbJoursSemaine,MATCH(Planification!$M9,JoursSemaine,0))*100,"libre")</f>
        <v>204</v>
      </c>
      <c r="E33" s="96" t="str">
        <f>IF(Planification!$O9&gt;=2,1+D33,"libre")</f>
        <v>libre</v>
      </c>
      <c r="F33" s="96" t="str">
        <f>IF(Planification!$O9&gt;=3,1+E33,"libre")</f>
        <v>libre</v>
      </c>
      <c r="G33" s="96" t="str">
        <f>IF(Planification!$O9&gt;=4,1+F33,"libre")</f>
        <v>libre</v>
      </c>
      <c r="H33" s="96" t="str">
        <f>IF(Planification!$O9&gt;=5,1+G33,"libre")</f>
        <v>libre</v>
      </c>
      <c r="I33" s="96" t="str">
        <f>IF(Planification!$O9&gt;=6,1+H33,"libre")</f>
        <v>libre</v>
      </c>
      <c r="J33" s="96" t="str">
        <f>IF(Planification!$O9&gt;=7,1+I33,"libre")</f>
        <v>libre</v>
      </c>
      <c r="K33" s="96" t="str">
        <f>IF(Planification!$O9&gt;=8,1+J33,"libre")</f>
        <v>libre</v>
      </c>
      <c r="L33" s="24" t="str">
        <f>IF(Planification!$O9&gt;=9,1+K33,"libre")</f>
        <v>libre</v>
      </c>
      <c r="M33" s="2"/>
      <c r="N33" s="2"/>
    </row>
    <row r="34" spans="2:14" x14ac:dyDescent="0.25">
      <c r="B34" s="25">
        <f>Planification!B10</f>
        <v>4</v>
      </c>
      <c r="C34" s="96" t="str">
        <f t="shared" si="0"/>
        <v>Mathématique pour l'informatique 1</v>
      </c>
      <c r="D34" s="96">
        <f>IF(Planification!$O10&gt;=1,INDEX(Pramètres!$I$25:$I$35,MATCH(Planification!$N10,HeureDébut,0))+INDEX(NbJoursSemaine,MATCH(Planification!$M10,JoursSemaine,0))*100,"libre")</f>
        <v>105</v>
      </c>
      <c r="E34" s="96" t="str">
        <f>IF(Planification!$O10&gt;=2,1+D34,"libre")</f>
        <v>libre</v>
      </c>
      <c r="F34" s="96" t="str">
        <f>IF(Planification!$O10&gt;=3,1+E34,"libre")</f>
        <v>libre</v>
      </c>
      <c r="G34" s="96" t="str">
        <f>IF(Planification!$O10&gt;=4,1+F34,"libre")</f>
        <v>libre</v>
      </c>
      <c r="H34" s="96" t="str">
        <f>IF(Planification!$O10&gt;=5,1+G34,"libre")</f>
        <v>libre</v>
      </c>
      <c r="I34" s="96" t="str">
        <f>IF(Planification!$O10&gt;=6,1+H34,"libre")</f>
        <v>libre</v>
      </c>
      <c r="J34" s="96" t="str">
        <f>IF(Planification!$O10&gt;=7,1+I34,"libre")</f>
        <v>libre</v>
      </c>
      <c r="K34" s="96" t="str">
        <f>IF(Planification!$O10&gt;=8,1+J34,"libre")</f>
        <v>libre</v>
      </c>
      <c r="L34" s="24" t="str">
        <f>IF(Planification!$O10&gt;=9,1+K34,"libre")</f>
        <v>libre</v>
      </c>
      <c r="M34" s="2"/>
      <c r="N34" s="2"/>
    </row>
    <row r="35" spans="2:14" x14ac:dyDescent="0.25">
      <c r="B35" s="25">
        <f>Planification!B11</f>
        <v>5</v>
      </c>
      <c r="C35" s="96" t="str">
        <f t="shared" si="0"/>
        <v>Administration</v>
      </c>
      <c r="D35" s="96">
        <f>IF(Planification!$O11&gt;=1,INDEX(Pramètres!$I$25:$I$35,MATCH(Planification!$N11,HeureDébut,0))+INDEX(NbJoursSemaine,MATCH(Planification!$M11,JoursSemaine,0))*100,"libre")</f>
        <v>209</v>
      </c>
      <c r="E35" s="96">
        <f>IF(Planification!$O11&gt;=2,1+D35,"libre")</f>
        <v>210</v>
      </c>
      <c r="F35" s="96">
        <f>IF(Planification!$O11&gt;=3,1+E35,"libre")</f>
        <v>211</v>
      </c>
      <c r="G35" s="96" t="str">
        <f>IF(Planification!$O11&gt;=4,1+F35,"libre")</f>
        <v>libre</v>
      </c>
      <c r="H35" s="96" t="str">
        <f>IF(Planification!$O11&gt;=5,1+G35,"libre")</f>
        <v>libre</v>
      </c>
      <c r="I35" s="96" t="str">
        <f>IF(Planification!$O11&gt;=6,1+H35,"libre")</f>
        <v>libre</v>
      </c>
      <c r="J35" s="96" t="str">
        <f>IF(Planification!$O11&gt;=7,1+I35,"libre")</f>
        <v>libre</v>
      </c>
      <c r="K35" s="96" t="str">
        <f>IF(Planification!$O11&gt;=8,1+J35,"libre")</f>
        <v>libre</v>
      </c>
      <c r="L35" s="24" t="str">
        <f>IF(Planification!$O11&gt;=9,1+K35,"libre")</f>
        <v>libre</v>
      </c>
      <c r="M35" s="2"/>
      <c r="N35" s="2"/>
    </row>
    <row r="36" spans="2:14" x14ac:dyDescent="0.25">
      <c r="B36" s="25">
        <f>Planification!B12</f>
        <v>6</v>
      </c>
      <c r="C36" s="96" t="str">
        <f t="shared" si="0"/>
        <v>Administration de bases de données</v>
      </c>
      <c r="D36" s="96">
        <f>IF(Planification!$O12&gt;=1,INDEX(Pramètres!$I$25:$I$35,MATCH(Planification!$N12,HeureDébut,0))+INDEX(NbJoursSemaine,MATCH(Planification!$M12,JoursSemaine,0))*100,"libre")</f>
        <v>305</v>
      </c>
      <c r="E36" s="96" t="str">
        <f>IF(Planification!$O12&gt;=2,1+D36,"libre")</f>
        <v>libre</v>
      </c>
      <c r="F36" s="96" t="str">
        <f>IF(Planification!$O12&gt;=3,1+E36,"libre")</f>
        <v>libre</v>
      </c>
      <c r="G36" s="96" t="str">
        <f>IF(Planification!$O12&gt;=4,1+F36,"libre")</f>
        <v>libre</v>
      </c>
      <c r="H36" s="96" t="str">
        <f>IF(Planification!$O12&gt;=5,1+G36,"libre")</f>
        <v>libre</v>
      </c>
      <c r="I36" s="96" t="str">
        <f>IF(Planification!$O12&gt;=6,1+H36,"libre")</f>
        <v>libre</v>
      </c>
      <c r="J36" s="96" t="str">
        <f>IF(Planification!$O12&gt;=7,1+I36,"libre")</f>
        <v>libre</v>
      </c>
      <c r="K36" s="96" t="str">
        <f>IF(Planification!$O12&gt;=8,1+J36,"libre")</f>
        <v>libre</v>
      </c>
      <c r="L36" s="24" t="str">
        <f>IF(Planification!$O12&gt;=9,1+K36,"libre")</f>
        <v>libre</v>
      </c>
      <c r="M36" s="2"/>
      <c r="N36" s="2"/>
    </row>
    <row r="37" spans="2:14" x14ac:dyDescent="0.25">
      <c r="B37" s="25">
        <f>Planification!B13</f>
        <v>7</v>
      </c>
      <c r="C37" s="96" t="str">
        <f t="shared" si="0"/>
        <v>Programmation structurée</v>
      </c>
      <c r="D37" s="96">
        <f>IF(Planification!$O13&gt;=1,INDEX(Pramètres!$I$25:$I$35,MATCH(Planification!$N13,HeureDébut,0))+INDEX(NbJoursSemaine,MATCH(Planification!$M13,JoursSemaine,0))*100,"libre")</f>
        <v>608</v>
      </c>
      <c r="E37" s="96">
        <f>IF(Planification!$O13&gt;=2,1+D37,"libre")</f>
        <v>609</v>
      </c>
      <c r="F37" s="96">
        <f>IF(Planification!$O13&gt;=3,1+E37,"libre")</f>
        <v>610</v>
      </c>
      <c r="G37" s="96" t="str">
        <f>IF(Planification!$O13&gt;=4,1+F37,"libre")</f>
        <v>libre</v>
      </c>
      <c r="H37" s="96" t="str">
        <f>IF(Planification!$O13&gt;=5,1+G37,"libre")</f>
        <v>libre</v>
      </c>
      <c r="I37" s="96" t="str">
        <f>IF(Planification!$O13&gt;=6,1+H37,"libre")</f>
        <v>libre</v>
      </c>
      <c r="J37" s="96" t="str">
        <f>IF(Planification!$O13&gt;=7,1+I37,"libre")</f>
        <v>libre</v>
      </c>
      <c r="K37" s="96" t="str">
        <f>IF(Planification!$O13&gt;=8,1+J37,"libre")</f>
        <v>libre</v>
      </c>
      <c r="L37" s="24" t="str">
        <f>IF(Planification!$O13&gt;=9,1+K37,"libre")</f>
        <v>libre</v>
      </c>
      <c r="M37" s="2"/>
      <c r="N37" s="2"/>
    </row>
    <row r="38" spans="2:14" x14ac:dyDescent="0.25">
      <c r="B38" s="25">
        <f>Planification!B14</f>
        <v>8</v>
      </c>
      <c r="C38" s="96" t="str">
        <f t="shared" si="0"/>
        <v>Outils et matériels informatiques</v>
      </c>
      <c r="D38" s="96">
        <f>IF(Planification!$O14&gt;=1,INDEX(Pramètres!$I$25:$I$35,MATCH(Planification!$N14,HeureDébut,0))+INDEX(NbJoursSemaine,MATCH(Planification!$M14,JoursSemaine,0))*100,"libre")</f>
        <v>709</v>
      </c>
      <c r="E38" s="96">
        <f>IF(Planification!$O14&gt;=2,1+D38,"libre")</f>
        <v>710</v>
      </c>
      <c r="F38" s="96">
        <f>IF(Planification!$O14&gt;=3,1+E38,"libre")</f>
        <v>711</v>
      </c>
      <c r="G38" s="96">
        <f>IF(Planification!$O14&gt;=4,1+F38,"libre")</f>
        <v>712</v>
      </c>
      <c r="H38" s="96" t="str">
        <f>IF(Planification!$O14&gt;=5,1+G38,"libre")</f>
        <v>libre</v>
      </c>
      <c r="I38" s="96" t="str">
        <f>IF(Planification!$O14&gt;=6,1+H38,"libre")</f>
        <v>libre</v>
      </c>
      <c r="J38" s="96" t="str">
        <f>IF(Planification!$O14&gt;=7,1+I38,"libre")</f>
        <v>libre</v>
      </c>
      <c r="K38" s="96" t="str">
        <f>IF(Planification!$O14&gt;=8,1+J38,"libre")</f>
        <v>libre</v>
      </c>
      <c r="L38" s="24" t="str">
        <f>IF(Planification!$O14&gt;=9,1+K38,"libre")</f>
        <v>libre</v>
      </c>
      <c r="M38" s="2"/>
      <c r="N38" s="2"/>
    </row>
    <row r="39" spans="2:14" x14ac:dyDescent="0.25">
      <c r="B39" s="28">
        <f>Planification!B15</f>
        <v>9</v>
      </c>
      <c r="C39" s="145" t="str">
        <f t="shared" si="0"/>
        <v>Philosophie et rationalité</v>
      </c>
      <c r="D39" s="145">
        <f>IF(Planification!$O15&gt;=1,INDEX(Pramètres!$I$25:$I$35,MATCH(Planification!$N15,HeureDébut,0))+INDEX(NbJoursSemaine,MATCH(Planification!$M15,JoursSemaine,0))*100,"libre")</f>
        <v>205</v>
      </c>
      <c r="E39" s="145">
        <f>IF(Planification!$O15&gt;=2,1+D39,"libre")</f>
        <v>206</v>
      </c>
      <c r="F39" s="145" t="str">
        <f>IF(Planification!$O15&gt;=3,1+E39,"libre")</f>
        <v>libre</v>
      </c>
      <c r="G39" s="145" t="str">
        <f>IF(Planification!$O15&gt;=4,1+F39,"libre")</f>
        <v>libre</v>
      </c>
      <c r="H39" s="145" t="str">
        <f>IF(Planification!$O15&gt;=5,1+G39,"libre")</f>
        <v>libre</v>
      </c>
      <c r="I39" s="145" t="str">
        <f>IF(Planification!$O15&gt;=6,1+H39,"libre")</f>
        <v>libre</v>
      </c>
      <c r="J39" s="145" t="str">
        <f>IF(Planification!$O15&gt;=7,1+I39,"libre")</f>
        <v>libre</v>
      </c>
      <c r="K39" s="145" t="str">
        <f>IF(Planification!$O15&gt;=8,1+J39,"libre")</f>
        <v>libre</v>
      </c>
      <c r="L39" s="20" t="str">
        <f>IF(Planification!$O15&gt;=9,1+K39,"libre")</f>
        <v>libre</v>
      </c>
      <c r="M39" s="2"/>
      <c r="N39" s="2"/>
    </row>
    <row r="40" spans="2:14" x14ac:dyDescent="0.25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</row>
    <row r="41" spans="2:14" x14ac:dyDescent="0.25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</row>
    <row r="42" spans="2:14" x14ac:dyDescent="0.25">
      <c r="B42" s="155" t="s">
        <v>148</v>
      </c>
      <c r="C42" s="156"/>
      <c r="D42" s="156"/>
      <c r="E42" s="156"/>
      <c r="F42" s="156"/>
      <c r="G42" s="156"/>
      <c r="H42" s="156"/>
      <c r="I42" s="157"/>
      <c r="K42" s="2"/>
      <c r="L42" s="2"/>
      <c r="M42" s="2"/>
      <c r="N42" s="2"/>
    </row>
    <row r="43" spans="2:14" x14ac:dyDescent="0.25">
      <c r="B43" s="12"/>
      <c r="C43" s="13">
        <v>1</v>
      </c>
      <c r="D43" s="13">
        <v>2</v>
      </c>
      <c r="E43" s="13">
        <v>3</v>
      </c>
      <c r="F43" s="13">
        <v>4</v>
      </c>
      <c r="G43" s="13">
        <v>5</v>
      </c>
      <c r="H43" s="13">
        <v>6</v>
      </c>
      <c r="I43" s="14">
        <v>7</v>
      </c>
      <c r="K43" s="2"/>
      <c r="L43" s="2"/>
      <c r="M43" s="2"/>
      <c r="N43" s="2"/>
    </row>
    <row r="44" spans="2:14" x14ac:dyDescent="0.25">
      <c r="B44" s="12">
        <v>1</v>
      </c>
      <c r="C44" s="13">
        <f>COUNTIF($D$20:$L$28,C6)</f>
        <v>1</v>
      </c>
      <c r="D44" s="13">
        <f>COUNTIF($D$20:$L$28,D6)</f>
        <v>1</v>
      </c>
      <c r="E44" s="13">
        <f>COUNTIF($D$20:$L$28,E6)</f>
        <v>0</v>
      </c>
      <c r="F44" s="13">
        <f>COUNTIF($D$20:$L$28,F6)</f>
        <v>0</v>
      </c>
      <c r="G44" s="13">
        <f>COUNTIF($D$20:$L$28,G6)</f>
        <v>1</v>
      </c>
      <c r="H44" s="13">
        <f>COUNTIF($D$20:$L$28,H6)</f>
        <v>0</v>
      </c>
      <c r="I44" s="14">
        <f>COUNTIF($D$20:$L$28,I6)</f>
        <v>0</v>
      </c>
      <c r="K44" s="2"/>
      <c r="L44" s="2"/>
      <c r="M44" s="2"/>
      <c r="N44" s="2"/>
    </row>
    <row r="45" spans="2:14" x14ac:dyDescent="0.25">
      <c r="B45" s="12">
        <v>2</v>
      </c>
      <c r="C45" s="13">
        <f>COUNTIF($D$20:$L$28,C7)</f>
        <v>2</v>
      </c>
      <c r="D45" s="13">
        <f>COUNTIF($D$20:$L$28,D7)</f>
        <v>1</v>
      </c>
      <c r="E45" s="13">
        <f>COUNTIF($D$20:$L$28,E7)</f>
        <v>0</v>
      </c>
      <c r="F45" s="13">
        <f>COUNTIF($D$20:$L$28,F7)</f>
        <v>0</v>
      </c>
      <c r="G45" s="13">
        <f>COUNTIF($D$20:$L$28,G7)</f>
        <v>1</v>
      </c>
      <c r="H45" s="13">
        <f>COUNTIF($D$20:$L$28,H7)</f>
        <v>0</v>
      </c>
      <c r="I45" s="14">
        <f>COUNTIF($D$20:$L$28,I7)</f>
        <v>0</v>
      </c>
      <c r="K45" s="2"/>
      <c r="L45" s="2"/>
      <c r="M45" s="2"/>
      <c r="N45" s="2"/>
    </row>
    <row r="46" spans="2:14" x14ac:dyDescent="0.25">
      <c r="B46" s="12">
        <v>3</v>
      </c>
      <c r="C46" s="13">
        <f>COUNTIF($D$20:$L$28,C8)</f>
        <v>0</v>
      </c>
      <c r="D46" s="13">
        <f>COUNTIF($D$20:$L$28,D8)</f>
        <v>0</v>
      </c>
      <c r="E46" s="13">
        <f>COUNTIF($D$20:$L$28,E8)</f>
        <v>1</v>
      </c>
      <c r="F46" s="13">
        <f>COUNTIF($D$20:$L$28,F8)</f>
        <v>0</v>
      </c>
      <c r="G46" s="13">
        <f>COUNTIF($D$20:$L$28,G8)</f>
        <v>0</v>
      </c>
      <c r="H46" s="13">
        <f>COUNTIF($D$20:$L$28,H8)</f>
        <v>0</v>
      </c>
      <c r="I46" s="14">
        <f>COUNTIF($D$20:$L$28,I8)</f>
        <v>0</v>
      </c>
      <c r="K46" s="2"/>
      <c r="L46" s="2"/>
      <c r="M46" s="2"/>
      <c r="N46" s="2"/>
    </row>
    <row r="47" spans="2:14" x14ac:dyDescent="0.25">
      <c r="B47" s="12">
        <v>4</v>
      </c>
      <c r="C47" s="13">
        <f>COUNTIF($D$20:$L$28,C9)</f>
        <v>0</v>
      </c>
      <c r="D47" s="13">
        <f>COUNTIF($D$20:$L$28,D9)</f>
        <v>0</v>
      </c>
      <c r="E47" s="13">
        <f>COUNTIF($D$20:$L$28,E9)</f>
        <v>0</v>
      </c>
      <c r="F47" s="13">
        <f>COUNTIF($D$20:$L$28,F9)</f>
        <v>0</v>
      </c>
      <c r="G47" s="13">
        <f>COUNTIF($D$20:$L$28,G9)</f>
        <v>0</v>
      </c>
      <c r="H47" s="13">
        <f>COUNTIF($D$20:$L$28,H9)</f>
        <v>0</v>
      </c>
      <c r="I47" s="14">
        <f>COUNTIF($D$20:$L$28,I9)</f>
        <v>0</v>
      </c>
      <c r="K47" s="2"/>
      <c r="L47" s="2"/>
      <c r="M47" s="2"/>
      <c r="N47" s="2"/>
    </row>
    <row r="48" spans="2:14" x14ac:dyDescent="0.25">
      <c r="B48" s="12">
        <v>5</v>
      </c>
      <c r="C48" s="13">
        <f>COUNTIF($D$20:$L$28,C10)</f>
        <v>0</v>
      </c>
      <c r="D48" s="13">
        <f>COUNTIF($D$20:$L$28,D10)</f>
        <v>0</v>
      </c>
      <c r="E48" s="13">
        <f>COUNTIF($D$20:$L$28,E10)</f>
        <v>0</v>
      </c>
      <c r="F48" s="13">
        <f>COUNTIF($D$20:$L$28,F10)</f>
        <v>0</v>
      </c>
      <c r="G48" s="13">
        <f>COUNTIF($D$20:$L$28,G10)</f>
        <v>0</v>
      </c>
      <c r="H48" s="13">
        <f>COUNTIF($D$20:$L$28,H10)</f>
        <v>0</v>
      </c>
      <c r="I48" s="14">
        <f>COUNTIF($D$20:$L$28,I10)</f>
        <v>1</v>
      </c>
      <c r="K48" s="2"/>
      <c r="L48" s="2"/>
      <c r="M48" s="2"/>
      <c r="N48" s="2"/>
    </row>
    <row r="49" spans="2:14" x14ac:dyDescent="0.25">
      <c r="B49" s="12">
        <v>6</v>
      </c>
      <c r="C49" s="13">
        <f>COUNTIF($D$20:$L$28,C11)</f>
        <v>0</v>
      </c>
      <c r="D49" s="13">
        <f>COUNTIF($D$20:$L$28,D11)</f>
        <v>0</v>
      </c>
      <c r="E49" s="13">
        <f>COUNTIF($D$20:$L$28,E11)</f>
        <v>0</v>
      </c>
      <c r="F49" s="13">
        <f>COUNTIF($D$20:$L$28,F11)</f>
        <v>0</v>
      </c>
      <c r="G49" s="13">
        <f>COUNTIF($D$20:$L$28,G11)</f>
        <v>0</v>
      </c>
      <c r="H49" s="13">
        <f>COUNTIF($D$20:$L$28,H11)</f>
        <v>0</v>
      </c>
      <c r="I49" s="14">
        <f>COUNTIF($D$20:$L$28,I11)</f>
        <v>1</v>
      </c>
      <c r="K49" s="2"/>
      <c r="L49" s="2"/>
      <c r="M49" s="2"/>
      <c r="N49" s="2"/>
    </row>
    <row r="50" spans="2:14" x14ac:dyDescent="0.25">
      <c r="B50" s="12">
        <v>7</v>
      </c>
      <c r="C50" s="13">
        <f>COUNTIF($D$20:$L$28,C12)</f>
        <v>0</v>
      </c>
      <c r="D50" s="13">
        <f>COUNTIF($D$20:$L$28,D12)</f>
        <v>1</v>
      </c>
      <c r="E50" s="13">
        <f>COUNTIF($D$20:$L$28,E12)</f>
        <v>1</v>
      </c>
      <c r="F50" s="13">
        <f>COUNTIF($D$20:$L$28,F12)</f>
        <v>0</v>
      </c>
      <c r="G50" s="13">
        <f>COUNTIF($D$20:$L$28,G12)</f>
        <v>0</v>
      </c>
      <c r="H50" s="13">
        <f>COUNTIF($D$20:$L$28,H12)</f>
        <v>0</v>
      </c>
      <c r="I50" s="14">
        <f>COUNTIF($D$20:$L$28,I12)</f>
        <v>0</v>
      </c>
      <c r="K50" s="2"/>
      <c r="L50" s="2"/>
      <c r="M50" s="2"/>
      <c r="N50" s="2"/>
    </row>
    <row r="51" spans="2:14" x14ac:dyDescent="0.25">
      <c r="B51" s="12">
        <v>8</v>
      </c>
      <c r="C51" s="13">
        <f>COUNTIF($D$20:$L$28,C13)</f>
        <v>0</v>
      </c>
      <c r="D51" s="13">
        <f>COUNTIF($D$20:$L$28,D13)</f>
        <v>1</v>
      </c>
      <c r="E51" s="13">
        <f>COUNTIF($D$20:$L$28,E13)</f>
        <v>1</v>
      </c>
      <c r="F51" s="13">
        <f>COUNTIF($D$20:$L$28,F13)</f>
        <v>0</v>
      </c>
      <c r="G51" s="13">
        <f>COUNTIF($D$20:$L$28,G13)</f>
        <v>0</v>
      </c>
      <c r="H51" s="13">
        <f>COUNTIF($D$20:$L$28,H13)</f>
        <v>0</v>
      </c>
      <c r="I51" s="14">
        <f>COUNTIF($D$20:$L$28,I13)</f>
        <v>0</v>
      </c>
      <c r="K51" s="2"/>
      <c r="L51" s="2"/>
      <c r="M51" s="2"/>
      <c r="N51" s="2"/>
    </row>
    <row r="52" spans="2:14" x14ac:dyDescent="0.25">
      <c r="B52" s="12">
        <v>9</v>
      </c>
      <c r="C52" s="13">
        <f>COUNTIF($D$20:$L$28,C14)</f>
        <v>0</v>
      </c>
      <c r="D52" s="13">
        <f>COUNTIF($D$20:$L$28,D14)</f>
        <v>0</v>
      </c>
      <c r="E52" s="13">
        <f>COUNTIF($D$20:$L$28,E14)</f>
        <v>0</v>
      </c>
      <c r="F52" s="13">
        <f>COUNTIF($D$20:$L$28,F14)</f>
        <v>0</v>
      </c>
      <c r="G52" s="13">
        <f>COUNTIF($D$20:$L$28,G14)</f>
        <v>1</v>
      </c>
      <c r="H52" s="13">
        <f>COUNTIF($D$20:$L$28,H14)</f>
        <v>0</v>
      </c>
      <c r="I52" s="14">
        <f>COUNTIF($D$20:$L$28,I14)</f>
        <v>0</v>
      </c>
      <c r="K52" s="2"/>
      <c r="L52" s="2"/>
      <c r="M52" s="2"/>
      <c r="N52" s="2"/>
    </row>
    <row r="53" spans="2:14" x14ac:dyDescent="0.25">
      <c r="B53" s="12">
        <v>10</v>
      </c>
      <c r="C53" s="13">
        <f>COUNTIF($D$20:$L$28,C15)</f>
        <v>0</v>
      </c>
      <c r="D53" s="13">
        <f>COUNTIF($D$20:$L$28,D15)</f>
        <v>0</v>
      </c>
      <c r="E53" s="13">
        <f>COUNTIF($D$20:$L$28,E15)</f>
        <v>0</v>
      </c>
      <c r="F53" s="13">
        <f>COUNTIF($D$20:$L$28,F15)</f>
        <v>0</v>
      </c>
      <c r="G53" s="13">
        <f>COUNTIF($D$20:$L$28,G15)</f>
        <v>1</v>
      </c>
      <c r="H53" s="13">
        <f>COUNTIF($D$20:$L$28,H15)</f>
        <v>0</v>
      </c>
      <c r="I53" s="14">
        <f>COUNTIF($D$20:$L$28,I15)</f>
        <v>0</v>
      </c>
      <c r="K53" s="2"/>
      <c r="L53" s="2"/>
      <c r="M53" s="2"/>
      <c r="N53" s="2"/>
    </row>
    <row r="54" spans="2:14" x14ac:dyDescent="0.25">
      <c r="B54" s="15">
        <v>11</v>
      </c>
      <c r="C54" s="16">
        <f>COUNTIF($D$20:$L$28,C16)</f>
        <v>0</v>
      </c>
      <c r="D54" s="16">
        <f>COUNTIF($D$20:$L$28,D16)</f>
        <v>0</v>
      </c>
      <c r="E54" s="16">
        <f>COUNTIF($D$20:$L$28,E16)</f>
        <v>0</v>
      </c>
      <c r="F54" s="16">
        <f>COUNTIF($D$20:$L$28,F16)</f>
        <v>0</v>
      </c>
      <c r="G54" s="16">
        <f>COUNTIF($D$20:$L$28,G16)</f>
        <v>1</v>
      </c>
      <c r="H54" s="16">
        <f>COUNTIF($D$20:$L$28,H16)</f>
        <v>0</v>
      </c>
      <c r="I54" s="17">
        <f>COUNTIF($D$20:$L$28,I16)</f>
        <v>0</v>
      </c>
      <c r="K54" s="2"/>
      <c r="L54" s="2"/>
      <c r="M54" s="2"/>
      <c r="N54" s="2"/>
    </row>
    <row r="55" spans="2:14" x14ac:dyDescent="0.25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</row>
    <row r="56" spans="2:14" x14ac:dyDescent="0.25">
      <c r="B56" s="2"/>
      <c r="K56" s="2"/>
      <c r="L56" s="2"/>
      <c r="M56" s="2"/>
      <c r="N56" s="2"/>
    </row>
    <row r="57" spans="2:14" x14ac:dyDescent="0.25">
      <c r="B57" s="147" t="s">
        <v>163</v>
      </c>
      <c r="C57" s="148"/>
      <c r="D57" s="148"/>
      <c r="E57" s="148"/>
      <c r="F57" s="148"/>
      <c r="G57" s="148"/>
      <c r="H57" s="148"/>
      <c r="I57" s="149"/>
      <c r="K57" s="2"/>
      <c r="L57" s="2"/>
      <c r="M57" s="2"/>
      <c r="N57" s="2"/>
    </row>
    <row r="58" spans="2:14" x14ac:dyDescent="0.25">
      <c r="B58" s="12"/>
      <c r="C58" s="13" t="s">
        <v>122</v>
      </c>
      <c r="D58" s="13" t="s">
        <v>123</v>
      </c>
      <c r="E58" s="13" t="s">
        <v>124</v>
      </c>
      <c r="F58" s="13" t="s">
        <v>125</v>
      </c>
      <c r="G58" s="13" t="s">
        <v>126</v>
      </c>
      <c r="H58" s="13" t="s">
        <v>127</v>
      </c>
      <c r="I58" s="14" t="s">
        <v>121</v>
      </c>
      <c r="K58" s="2"/>
      <c r="L58" s="2"/>
      <c r="M58" s="2"/>
      <c r="N58" s="2"/>
    </row>
    <row r="59" spans="2:14" x14ac:dyDescent="0.25">
      <c r="B59" s="153">
        <f>Pramètres!J25</f>
        <v>0.33333333333333331</v>
      </c>
      <c r="C59" s="13">
        <f t="array" ref="C59">IF(C44&gt;1,"CONFLIT",IF(C44=0,"libre",MAX(($C$20:$L$39 = C6) * ROW($C$20:$L$39))-MIN(ROW($C$20:$L$39))+1))</f>
        <v>2</v>
      </c>
      <c r="D59" s="13">
        <f t="array" ref="D59">IF(D44&gt;1,"CONFLIT",IF(D44=0,"libre",MAX(($C$20:$L$39 = D6) * ROW($C$20:$L$39))-MIN(ROW($C$20:$L$39))+1))</f>
        <v>6</v>
      </c>
      <c r="E59" s="13" t="str">
        <f t="array" ref="E59">IF(E44&gt;1,"CONFLIT",IF(E44=0,"libre",MAX(($C$20:$L$39 = E6) * ROW($C$20:$L$39))-MIN(ROW($C$20:$L$39))+1))</f>
        <v>libre</v>
      </c>
      <c r="F59" s="13" t="str">
        <f t="array" ref="F59">IF(F44&gt;1,"CONFLIT",IF(F44=0,"libre",MAX(($C$20:$L$39 = F6) * ROW($C$20:$L$39))-MIN(ROW($C$20:$L$39))+1))</f>
        <v>libre</v>
      </c>
      <c r="G59" s="13">
        <f t="array" ref="G59">IF(G44&gt;1,"CONFLIT",IF(G44=0,"libre",MAX(($C$20:$L$39 = G6) * ROW($C$20:$L$39))-MIN(ROW($C$20:$L$39))+1))</f>
        <v>9</v>
      </c>
      <c r="H59" s="13" t="str">
        <f t="array" ref="H59">IF(H44&gt;1,"CONFLIT",IF(H44=0,"libre",MAX(($C$20:$L$39 = H6) * ROW($C$20:$L$39))-MIN(ROW($C$20:$L$39))+1))</f>
        <v>libre</v>
      </c>
      <c r="I59" s="14" t="str">
        <f t="array" ref="I59">IF(I44&gt;1,"CONFLIT",IF(I44=0,"libre",MAX(($C$20:$L$39 = I6) * ROW($C$20:$L$39))-MIN(ROW($C$20:$L$39))+1))</f>
        <v>libre</v>
      </c>
      <c r="K59" s="2"/>
      <c r="L59" s="2"/>
      <c r="M59" s="2"/>
      <c r="N59" s="2"/>
    </row>
    <row r="60" spans="2:14" x14ac:dyDescent="0.25">
      <c r="B60" s="153">
        <f>Pramètres!J26</f>
        <v>0.37152777777777779</v>
      </c>
      <c r="C60" s="13" t="str">
        <f t="array" ref="C60">IF(C45&gt;1,"CONFLIT",IF(C45=0,"libre",MAX(($C$20:$L$39 = C7) * ROW($C$20:$L$39))-MIN(ROW($C$20:$L$39))+1))</f>
        <v>CONFLIT</v>
      </c>
      <c r="D60" s="13">
        <f t="array" ref="D60">IF(D45&gt;1,"CONFLIT",IF(D45=0,"libre",MAX(($C$20:$L$39 = D7) * ROW($C$20:$L$39))-MIN(ROW($C$20:$L$39))+1))</f>
        <v>6</v>
      </c>
      <c r="E60" s="13" t="str">
        <f t="array" ref="E60">IF(E45&gt;1,"CONFLIT",IF(E45=0,"libre",MAX(($C$20:$L$39 = E7) * ROW($C$20:$L$39))-MIN(ROW($C$20:$L$39))+1))</f>
        <v>libre</v>
      </c>
      <c r="F60" s="13" t="str">
        <f t="array" ref="F60">IF(F45&gt;1,"CONFLIT",IF(F45=0,"libre",MAX(($C$20:$L$39 = F7) * ROW($C$20:$L$39))-MIN(ROW($C$20:$L$39))+1))</f>
        <v>libre</v>
      </c>
      <c r="G60" s="13">
        <f t="array" ref="G60">IF(G45&gt;1,"CONFLIT",IF(G45=0,"libre",MAX(($C$20:$L$39 = G7) * ROW($C$20:$L$39))-MIN(ROW($C$20:$L$39))+1))</f>
        <v>9</v>
      </c>
      <c r="H60" s="13" t="str">
        <f t="array" ref="H60">IF(H45&gt;1,"CONFLIT",IF(H45=0,"libre",MAX(($C$20:$L$39 = H7) * ROW($C$20:$L$39))-MIN(ROW($C$20:$L$39))+1))</f>
        <v>libre</v>
      </c>
      <c r="I60" s="14" t="str">
        <f t="array" ref="I60">IF(I45&gt;1,"CONFLIT",IF(I45=0,"libre",MAX(($C$20:$L$39 = I7) * ROW($C$20:$L$39))-MIN(ROW($C$20:$L$39))+1))</f>
        <v>libre</v>
      </c>
      <c r="K60" s="2"/>
      <c r="L60" s="2"/>
      <c r="M60" s="2"/>
      <c r="N60" s="2"/>
    </row>
    <row r="61" spans="2:14" x14ac:dyDescent="0.25">
      <c r="B61" s="153">
        <f>Pramètres!J27</f>
        <v>0.40972222222222221</v>
      </c>
      <c r="C61" s="13" t="str">
        <f t="array" ref="C61">IF(C46&gt;1,"CONFLIT",IF(C46=0,"libre",MAX(($C$20:$L$39 = C8) * ROW($C$20:$L$39))-MIN(ROW($C$20:$L$39))+1))</f>
        <v>libre</v>
      </c>
      <c r="D61" s="13" t="str">
        <f t="array" ref="D61">IF(D46&gt;1,"CONFLIT",IF(D46=0,"libre",MAX(($C$20:$L$39 = D8) * ROW($C$20:$L$39))-MIN(ROW($C$20:$L$39))+1))</f>
        <v>libre</v>
      </c>
      <c r="E61" s="13">
        <f t="array" ref="E61">IF(E46&gt;1,"CONFLIT",IF(E46=0,"libre",MAX(($C$20:$L$39 = E8) * ROW($C$20:$L$39))-MIN(ROW($C$20:$L$39))+1))</f>
        <v>3</v>
      </c>
      <c r="F61" s="13" t="str">
        <f t="array" ref="F61">IF(F46&gt;1,"CONFLIT",IF(F46=0,"libre",MAX(($C$20:$L$39 = F8) * ROW($C$20:$L$39))-MIN(ROW($C$20:$L$39))+1))</f>
        <v>libre</v>
      </c>
      <c r="G61" s="13" t="str">
        <f t="array" ref="G61">IF(G46&gt;1,"CONFLIT",IF(G46=0,"libre",MAX(($C$20:$L$39 = G8) * ROW($C$20:$L$39))-MIN(ROW($C$20:$L$39))+1))</f>
        <v>libre</v>
      </c>
      <c r="H61" s="13" t="str">
        <f t="array" ref="H61">IF(H46&gt;1,"CONFLIT",IF(H46=0,"libre",MAX(($C$20:$L$39 = H8) * ROW($C$20:$L$39))-MIN(ROW($C$20:$L$39))+1))</f>
        <v>libre</v>
      </c>
      <c r="I61" s="14" t="str">
        <f t="array" ref="I61">IF(I46&gt;1,"CONFLIT",IF(I46=0,"libre",MAX(($C$20:$L$39 = I8) * ROW($C$20:$L$39))-MIN(ROW($C$20:$L$39))+1))</f>
        <v>libre</v>
      </c>
      <c r="K61" s="2"/>
      <c r="L61" s="2"/>
      <c r="M61" s="2"/>
      <c r="N61" s="2"/>
    </row>
    <row r="62" spans="2:14" x14ac:dyDescent="0.25">
      <c r="B62" s="153">
        <f>Pramètres!J28</f>
        <v>0.44791666666666663</v>
      </c>
      <c r="C62" s="13" t="str">
        <f t="array" ref="C62">IF(C47&gt;1,"CONFLIT",IF(C47=0,"libre",MAX(($C$20:$L$39 = C9) * ROW($C$20:$L$39))-MIN(ROW($C$20:$L$39))+1))</f>
        <v>libre</v>
      </c>
      <c r="D62" s="13" t="str">
        <f t="array" ref="D62">IF(D47&gt;1,"CONFLIT",IF(D47=0,"libre",MAX(($C$20:$L$39 = D9) * ROW($C$20:$L$39))-MIN(ROW($C$20:$L$39))+1))</f>
        <v>libre</v>
      </c>
      <c r="E62" s="13" t="str">
        <f t="array" ref="E62">IF(E47&gt;1,"CONFLIT",IF(E47=0,"libre",MAX(($C$20:$L$39 = E9) * ROW($C$20:$L$39))-MIN(ROW($C$20:$L$39))+1))</f>
        <v>libre</v>
      </c>
      <c r="F62" s="13" t="str">
        <f t="array" ref="F62">IF(F47&gt;1,"CONFLIT",IF(F47=0,"libre",MAX(($C$20:$L$39 = F9) * ROW($C$20:$L$39))-MIN(ROW($C$20:$L$39))+1))</f>
        <v>libre</v>
      </c>
      <c r="G62" s="13" t="str">
        <f t="array" ref="G62">IF(G47&gt;1,"CONFLIT",IF(G47=0,"libre",MAX(($C$20:$L$39 = G9) * ROW($C$20:$L$39))-MIN(ROW($C$20:$L$39))+1))</f>
        <v>libre</v>
      </c>
      <c r="H62" s="13" t="str">
        <f t="array" ref="H62">IF(H47&gt;1,"CONFLIT",IF(H47=0,"libre",MAX(($C$20:$L$39 = H9) * ROW($C$20:$L$39))-MIN(ROW($C$20:$L$39))+1))</f>
        <v>libre</v>
      </c>
      <c r="I62" s="14" t="str">
        <f t="array" ref="I62">IF(I47&gt;1,"CONFLIT",IF(I47=0,"libre",MAX(($C$20:$L$39 = I9) * ROW($C$20:$L$39))-MIN(ROW($C$20:$L$39))+1))</f>
        <v>libre</v>
      </c>
      <c r="K62" s="2"/>
      <c r="L62" s="2"/>
      <c r="M62" s="2"/>
      <c r="N62" s="2"/>
    </row>
    <row r="63" spans="2:14" x14ac:dyDescent="0.25">
      <c r="B63" s="153">
        <f>Pramètres!J29</f>
        <v>0.48611111111111105</v>
      </c>
      <c r="C63" s="13" t="str">
        <f t="array" ref="C63">IF(C48&gt;1,"CONFLIT",IF(C48=0,"libre",MAX(($C$20:$L$39 = C10) * ROW($C$20:$L$39))-MIN(ROW($C$20:$L$39))+1))</f>
        <v>libre</v>
      </c>
      <c r="D63" s="13" t="str">
        <f t="array" ref="D63">IF(D48&gt;1,"CONFLIT",IF(D48=0,"libre",MAX(($C$20:$L$39 = D10) * ROW($C$20:$L$39))-MIN(ROW($C$20:$L$39))+1))</f>
        <v>libre</v>
      </c>
      <c r="E63" s="13" t="str">
        <f t="array" ref="E63">IF(E48&gt;1,"CONFLIT",IF(E48=0,"libre",MAX(($C$20:$L$39 = E10) * ROW($C$20:$L$39))-MIN(ROW($C$20:$L$39))+1))</f>
        <v>libre</v>
      </c>
      <c r="F63" s="13" t="str">
        <f t="array" ref="F63">IF(F48&gt;1,"CONFLIT",IF(F48=0,"libre",MAX(($C$20:$L$39 = F10) * ROW($C$20:$L$39))-MIN(ROW($C$20:$L$39))+1))</f>
        <v>libre</v>
      </c>
      <c r="G63" s="13" t="str">
        <f t="array" ref="G63">IF(G48&gt;1,"CONFLIT",IF(G48=0,"libre",MAX(($C$20:$L$39 = G10) * ROW($C$20:$L$39))-MIN(ROW($C$20:$L$39))+1))</f>
        <v>libre</v>
      </c>
      <c r="H63" s="13" t="str">
        <f t="array" ref="H63">IF(H48&gt;1,"CONFLIT",IF(H48=0,"libre",MAX(($C$20:$L$39 = H10) * ROW($C$20:$L$39))-MIN(ROW($C$20:$L$39))+1))</f>
        <v>libre</v>
      </c>
      <c r="I63" s="14">
        <f t="array" ref="I63">IF(I48&gt;1,"CONFLIT",IF(I48=0,"libre",MAX(($C$20:$L$39 = I10) * ROW($C$20:$L$39))-MIN(ROW($C$20:$L$39))+1))</f>
        <v>5</v>
      </c>
      <c r="K63" s="2"/>
      <c r="L63" s="2"/>
      <c r="M63" s="2"/>
      <c r="N63" s="2"/>
    </row>
    <row r="64" spans="2:14" x14ac:dyDescent="0.25">
      <c r="B64" s="153">
        <f>Pramètres!J30</f>
        <v>0.52430555555555547</v>
      </c>
      <c r="C64" s="13" t="str">
        <f t="array" ref="C64">IF(C49&gt;1,"CONFLIT",IF(C49=0,"libre",MAX(($C$20:$L$39 = C11) * ROW($C$20:$L$39))-MIN(ROW($C$20:$L$39))+1))</f>
        <v>libre</v>
      </c>
      <c r="D64" s="13" t="str">
        <f t="array" ref="D64">IF(D49&gt;1,"CONFLIT",IF(D49=0,"libre",MAX(($C$20:$L$39 = D11) * ROW($C$20:$L$39))-MIN(ROW($C$20:$L$39))+1))</f>
        <v>libre</v>
      </c>
      <c r="E64" s="13" t="str">
        <f t="array" ref="E64">IF(E49&gt;1,"CONFLIT",IF(E49=0,"libre",MAX(($C$20:$L$39 = E11) * ROW($C$20:$L$39))-MIN(ROW($C$20:$L$39))+1))</f>
        <v>libre</v>
      </c>
      <c r="F64" s="13" t="str">
        <f t="array" ref="F64">IF(F49&gt;1,"CONFLIT",IF(F49=0,"libre",MAX(($C$20:$L$39 = F11) * ROW($C$20:$L$39))-MIN(ROW($C$20:$L$39))+1))</f>
        <v>libre</v>
      </c>
      <c r="G64" s="13" t="str">
        <f t="array" ref="G64">IF(G49&gt;1,"CONFLIT",IF(G49=0,"libre",MAX(($C$20:$L$39 = G11) * ROW($C$20:$L$39))-MIN(ROW($C$20:$L$39))+1))</f>
        <v>libre</v>
      </c>
      <c r="H64" s="13" t="str">
        <f t="array" ref="H64">IF(H49&gt;1,"CONFLIT",IF(H49=0,"libre",MAX(($C$20:$L$39 = H11) * ROW($C$20:$L$39))-MIN(ROW($C$20:$L$39))+1))</f>
        <v>libre</v>
      </c>
      <c r="I64" s="14">
        <f t="array" ref="I64">IF(I49&gt;1,"CONFLIT",IF(I49=0,"libre",MAX(($C$20:$L$39 = I11) * ROW($C$20:$L$39))-MIN(ROW($C$20:$L$39))+1))</f>
        <v>5</v>
      </c>
      <c r="K64" s="2"/>
      <c r="L64" s="2"/>
      <c r="M64" s="2"/>
      <c r="N64" s="2"/>
    </row>
    <row r="65" spans="2:14" x14ac:dyDescent="0.25">
      <c r="B65" s="153">
        <f>Pramètres!J31</f>
        <v>0.56249999999999989</v>
      </c>
      <c r="C65" s="13" t="str">
        <f t="array" ref="C65">IF(C50&gt;1,"CONFLIT",IF(C50=0,"libre",MAX(($C$20:$L$39 = C12) * ROW($C$20:$L$39))-MIN(ROW($C$20:$L$39))+1))</f>
        <v>libre</v>
      </c>
      <c r="D65" s="13">
        <f t="array" ref="D65">IF(D50&gt;1,"CONFLIT",IF(D50=0,"libre",MAX(($C$20:$L$39 = D12) * ROW($C$20:$L$39))-MIN(ROW($C$20:$L$39))+1))</f>
        <v>8</v>
      </c>
      <c r="E65" s="13">
        <f t="array" ref="E65">IF(E50&gt;1,"CONFLIT",IF(E50=0,"libre",MAX(($C$20:$L$39 = E12) * ROW($C$20:$L$39))-MIN(ROW($C$20:$L$39))+1))</f>
        <v>4</v>
      </c>
      <c r="F65" s="13" t="str">
        <f t="array" ref="F65">IF(F50&gt;1,"CONFLIT",IF(F50=0,"libre",MAX(($C$20:$L$39 = F12) * ROW($C$20:$L$39))-MIN(ROW($C$20:$L$39))+1))</f>
        <v>libre</v>
      </c>
      <c r="G65" s="13" t="str">
        <f t="array" ref="G65">IF(G50&gt;1,"CONFLIT",IF(G50=0,"libre",MAX(($C$20:$L$39 = G12) * ROW($C$20:$L$39))-MIN(ROW($C$20:$L$39))+1))</f>
        <v>libre</v>
      </c>
      <c r="H65" s="13" t="str">
        <f t="array" ref="H65">IF(H50&gt;1,"CONFLIT",IF(H50=0,"libre",MAX(($C$20:$L$39 = H12) * ROW($C$20:$L$39))-MIN(ROW($C$20:$L$39))+1))</f>
        <v>libre</v>
      </c>
      <c r="I65" s="14" t="str">
        <f t="array" ref="I65">IF(I50&gt;1,"CONFLIT",IF(I50=0,"libre",MAX(($C$20:$L$39 = I12) * ROW($C$20:$L$39))-MIN(ROW($C$20:$L$39))+1))</f>
        <v>libre</v>
      </c>
      <c r="K65" s="2"/>
      <c r="L65" s="2"/>
      <c r="M65" s="2"/>
      <c r="N65" s="2"/>
    </row>
    <row r="66" spans="2:14" x14ac:dyDescent="0.25">
      <c r="B66" s="153">
        <f>Pramètres!J32</f>
        <v>0.60069444444444431</v>
      </c>
      <c r="C66" s="13" t="str">
        <f t="array" ref="C66">IF(C51&gt;1,"CONFLIT",IF(C51=0,"libre",MAX(($C$20:$L$39 = C13) * ROW($C$20:$L$39))-MIN(ROW($C$20:$L$39))+1))</f>
        <v>libre</v>
      </c>
      <c r="D66" s="13">
        <f t="array" ref="D66">IF(D51&gt;1,"CONFLIT",IF(D51=0,"libre",MAX(($C$20:$L$39 = D13) * ROW($C$20:$L$39))-MIN(ROW($C$20:$L$39))+1))</f>
        <v>8</v>
      </c>
      <c r="E66" s="13">
        <f t="array" ref="E66">IF(E51&gt;1,"CONFLIT",IF(E51=0,"libre",MAX(($C$20:$L$39 = E13) * ROW($C$20:$L$39))-MIN(ROW($C$20:$L$39))+1))</f>
        <v>4</v>
      </c>
      <c r="F66" s="13" t="str">
        <f t="array" ref="F66">IF(F51&gt;1,"CONFLIT",IF(F51=0,"libre",MAX(($C$20:$L$39 = F13) * ROW($C$20:$L$39))-MIN(ROW($C$20:$L$39))+1))</f>
        <v>libre</v>
      </c>
      <c r="G66" s="13" t="str">
        <f t="array" ref="G66">IF(G51&gt;1,"CONFLIT",IF(G51=0,"libre",MAX(($C$20:$L$39 = G13) * ROW($C$20:$L$39))-MIN(ROW($C$20:$L$39))+1))</f>
        <v>libre</v>
      </c>
      <c r="H66" s="13" t="str">
        <f t="array" ref="H66">IF(H51&gt;1,"CONFLIT",IF(H51=0,"libre",MAX(($C$20:$L$39 = H13) * ROW($C$20:$L$39))-MIN(ROW($C$20:$L$39))+1))</f>
        <v>libre</v>
      </c>
      <c r="I66" s="14" t="str">
        <f t="array" ref="I66">IF(I51&gt;1,"CONFLIT",IF(I51=0,"libre",MAX(($C$20:$L$39 = I13) * ROW($C$20:$L$39))-MIN(ROW($C$20:$L$39))+1))</f>
        <v>libre</v>
      </c>
      <c r="K66" s="2"/>
      <c r="L66" s="2"/>
      <c r="M66" s="2"/>
      <c r="N66" s="2"/>
    </row>
    <row r="67" spans="2:14" x14ac:dyDescent="0.25">
      <c r="B67" s="153">
        <f>Pramètres!J33</f>
        <v>0.63888888888888873</v>
      </c>
      <c r="C67" s="13" t="str">
        <f t="array" ref="C67">IF(C52&gt;1,"CONFLIT",IF(C52=0,"libre",MAX(($C$20:$L$39 = C14) * ROW($C$20:$L$39))-MIN(ROW($C$20:$L$39))+1))</f>
        <v>libre</v>
      </c>
      <c r="D67" s="13" t="str">
        <f t="array" ref="D67">IF(D52&gt;1,"CONFLIT",IF(D52=0,"libre",MAX(($C$20:$L$39 = D14) * ROW($C$20:$L$39))-MIN(ROW($C$20:$L$39))+1))</f>
        <v>libre</v>
      </c>
      <c r="E67" s="13" t="str">
        <f t="array" ref="E67">IF(E52&gt;1,"CONFLIT",IF(E52=0,"libre",MAX(($C$20:$L$39 = E14) * ROW($C$20:$L$39))-MIN(ROW($C$20:$L$39))+1))</f>
        <v>libre</v>
      </c>
      <c r="F67" s="13" t="str">
        <f t="array" ref="F67">IF(F52&gt;1,"CONFLIT",IF(F52=0,"libre",MAX(($C$20:$L$39 = F14) * ROW($C$20:$L$39))-MIN(ROW($C$20:$L$39))+1))</f>
        <v>libre</v>
      </c>
      <c r="G67" s="13">
        <f t="array" ref="G67">IF(G52&gt;1,"CONFLIT",IF(G52=0,"libre",MAX(($C$20:$L$39 = G14) * ROW($C$20:$L$39))-MIN(ROW($C$20:$L$39))+1))</f>
        <v>7</v>
      </c>
      <c r="H67" s="13" t="str">
        <f t="array" ref="H67">IF(H52&gt;1,"CONFLIT",IF(H52=0,"libre",MAX(($C$20:$L$39 = H14) * ROW($C$20:$L$39))-MIN(ROW($C$20:$L$39))+1))</f>
        <v>libre</v>
      </c>
      <c r="I67" s="14" t="str">
        <f t="array" ref="I67">IF(I52&gt;1,"CONFLIT",IF(I52=0,"libre",MAX(($C$20:$L$39 = I14) * ROW($C$20:$L$39))-MIN(ROW($C$20:$L$39))+1))</f>
        <v>libre</v>
      </c>
      <c r="K67" s="2"/>
      <c r="L67" s="2"/>
      <c r="M67" s="2"/>
      <c r="N67" s="2"/>
    </row>
    <row r="68" spans="2:14" x14ac:dyDescent="0.25">
      <c r="B68" s="153">
        <f>Pramètres!J34</f>
        <v>0.67708333333333315</v>
      </c>
      <c r="C68" s="13" t="str">
        <f t="array" ref="C68">IF(C53&gt;1,"CONFLIT",IF(C53=0,"libre",MAX(($C$20:$L$39 = C15) * ROW($C$20:$L$39))-MIN(ROW($C$20:$L$39))+1))</f>
        <v>libre</v>
      </c>
      <c r="D68" s="13" t="str">
        <f t="array" ref="D68">IF(D53&gt;1,"CONFLIT",IF(D53=0,"libre",MAX(($C$20:$L$39 = D15) * ROW($C$20:$L$39))-MIN(ROW($C$20:$L$39))+1))</f>
        <v>libre</v>
      </c>
      <c r="E68" s="13" t="str">
        <f t="array" ref="E68">IF(E53&gt;1,"CONFLIT",IF(E53=0,"libre",MAX(($C$20:$L$39 = E15) * ROW($C$20:$L$39))-MIN(ROW($C$20:$L$39))+1))</f>
        <v>libre</v>
      </c>
      <c r="F68" s="13" t="str">
        <f t="array" ref="F68">IF(F53&gt;1,"CONFLIT",IF(F53=0,"libre",MAX(($C$20:$L$39 = F15) * ROW($C$20:$L$39))-MIN(ROW($C$20:$L$39))+1))</f>
        <v>libre</v>
      </c>
      <c r="G68" s="13">
        <f t="array" ref="G68">IF(G53&gt;1,"CONFLIT",IF(G53=0,"libre",MAX(($C$20:$L$39 = G15) * ROW($C$20:$L$39))-MIN(ROW($C$20:$L$39))+1))</f>
        <v>7</v>
      </c>
      <c r="H68" s="13" t="str">
        <f t="array" ref="H68">IF(H53&gt;1,"CONFLIT",IF(H53=0,"libre",MAX(($C$20:$L$39 = H15) * ROW($C$20:$L$39))-MIN(ROW($C$20:$L$39))+1))</f>
        <v>libre</v>
      </c>
      <c r="I68" s="14" t="str">
        <f t="array" ref="I68">IF(I53&gt;1,"CONFLIT",IF(I53=0,"libre",MAX(($C$20:$L$39 = I15) * ROW($C$20:$L$39))-MIN(ROW($C$20:$L$39))+1))</f>
        <v>libre</v>
      </c>
      <c r="K68" s="2"/>
      <c r="L68" s="2"/>
      <c r="M68" s="2"/>
      <c r="N68" s="2"/>
    </row>
    <row r="69" spans="2:14" x14ac:dyDescent="0.25">
      <c r="B69" s="154">
        <f>Pramètres!J35</f>
        <v>0.71527777777777757</v>
      </c>
      <c r="C69" s="16" t="str">
        <f t="array" ref="C69">IF(C54&gt;1,"CONFLIT",IF(C54=0,"libre",MAX(($C$20:$L$39 = C16) * ROW($C$20:$L$39))-MIN(ROW($C$20:$L$39))+1))</f>
        <v>libre</v>
      </c>
      <c r="D69" s="16" t="str">
        <f t="array" ref="D69">IF(D54&gt;1,"CONFLIT",IF(D54=0,"libre",MAX(($C$20:$L$39 = D16) * ROW($C$20:$L$39))-MIN(ROW($C$20:$L$39))+1))</f>
        <v>libre</v>
      </c>
      <c r="E69" s="16" t="str">
        <f t="array" ref="E69">IF(E54&gt;1,"CONFLIT",IF(E54=0,"libre",MAX(($C$20:$L$39 = E16) * ROW($C$20:$L$39))-MIN(ROW($C$20:$L$39))+1))</f>
        <v>libre</v>
      </c>
      <c r="F69" s="16" t="str">
        <f t="array" ref="F69">IF(F54&gt;1,"CONFLIT",IF(F54=0,"libre",MAX(($C$20:$L$39 = F16) * ROW($C$20:$L$39))-MIN(ROW($C$20:$L$39))+1))</f>
        <v>libre</v>
      </c>
      <c r="G69" s="16">
        <f t="array" ref="G69">IF(G54&gt;1,"CONFLIT",IF(G54=0,"libre",MAX(($C$20:$L$39 = G16) * ROW($C$20:$L$39))-MIN(ROW($C$20:$L$39))+1))</f>
        <v>7</v>
      </c>
      <c r="H69" s="16" t="str">
        <f t="array" ref="H69">IF(H54&gt;1,"CONFLIT",IF(H54=0,"libre",MAX(($C$20:$L$39 = H16) * ROW($C$20:$L$39))-MIN(ROW($C$20:$L$39))+1))</f>
        <v>libre</v>
      </c>
      <c r="I69" s="17" t="str">
        <f t="array" ref="I69">IF(I54&gt;1,"CONFLIT",IF(I54=0,"libre",MAX(($C$20:$L$39 = I16) * ROW($C$20:$L$39))-MIN(ROW($C$20:$L$39))+1))</f>
        <v>libre</v>
      </c>
      <c r="J69" s="2"/>
      <c r="K69" s="2"/>
      <c r="L69" s="2"/>
      <c r="M69" s="2"/>
      <c r="N69" s="2"/>
    </row>
    <row r="70" spans="2:14" x14ac:dyDescent="0.25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</row>
    <row r="71" spans="2:14" x14ac:dyDescent="0.25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</row>
    <row r="72" spans="2:14" x14ac:dyDescent="0.25">
      <c r="B72" s="2"/>
      <c r="M72" s="2"/>
      <c r="N72" s="2"/>
    </row>
    <row r="149" spans="14:20" x14ac:dyDescent="0.25">
      <c r="N149" s="174" t="s">
        <v>166</v>
      </c>
      <c r="O149" s="175"/>
      <c r="P149" s="175"/>
      <c r="Q149" s="175"/>
      <c r="R149" s="175"/>
      <c r="S149" s="175"/>
      <c r="T149" s="176"/>
    </row>
    <row r="150" spans="14:20" x14ac:dyDescent="0.25">
      <c r="N150" s="177" t="s">
        <v>122</v>
      </c>
      <c r="O150" s="178" t="s">
        <v>123</v>
      </c>
      <c r="P150" s="178" t="s">
        <v>124</v>
      </c>
      <c r="Q150" s="178" t="s">
        <v>125</v>
      </c>
      <c r="R150" s="178" t="s">
        <v>167</v>
      </c>
      <c r="S150" s="178" t="s">
        <v>127</v>
      </c>
      <c r="T150" s="179" t="s">
        <v>121</v>
      </c>
    </row>
    <row r="151" spans="14:20" x14ac:dyDescent="0.25">
      <c r="N151" s="12">
        <f>IF(AND(Q5&lt;&gt;"Conflit", Q5&lt;&gt;"-"),55,0)</f>
        <v>55</v>
      </c>
      <c r="O151" s="13">
        <f>IF(AND(R5&lt;&gt;"Conflit", R5&lt;&gt;"-"),55,0)</f>
        <v>55</v>
      </c>
      <c r="P151" s="13">
        <f>IF(AND(S5&lt;&gt;"Conflit", S5&lt;&gt;"-"),55,0)</f>
        <v>0</v>
      </c>
      <c r="Q151" s="13">
        <f>IF(AND(T5&lt;&gt;"Conflit", T5&lt;&gt;"-"),55,0)</f>
        <v>0</v>
      </c>
      <c r="R151" s="13">
        <f>IF(AND(U5&lt;&gt;"Conflit", U5&lt;&gt;"-"),55,0)</f>
        <v>55</v>
      </c>
      <c r="S151" s="13">
        <f>IF(AND(V5&lt;&gt;"Conflit", V5&lt;&gt;"-"),55,0)</f>
        <v>0</v>
      </c>
      <c r="T151" s="14">
        <f>IF(AND(W5&lt;&gt;"Conflit", W5&lt;&gt;"-"),55,0)</f>
        <v>0</v>
      </c>
    </row>
    <row r="152" spans="14:20" x14ac:dyDescent="0.25">
      <c r="N152" s="12">
        <f>IF(AND(Q6&lt;&gt;"Conflit", Q6&lt;&gt;"-"),55,0)</f>
        <v>0</v>
      </c>
      <c r="O152" s="13">
        <f>IF(AND(R6&lt;&gt;"Conflit", R6&lt;&gt;"-"),55,0)</f>
        <v>55</v>
      </c>
      <c r="P152" s="13">
        <f>IF(AND(S6&lt;&gt;"Conflit", S6&lt;&gt;"-"),55,0)</f>
        <v>0</v>
      </c>
      <c r="Q152" s="13">
        <f>IF(AND(T6&lt;&gt;"Conflit", T6&lt;&gt;"-"),55,0)</f>
        <v>0</v>
      </c>
      <c r="R152" s="13">
        <f>IF(AND(U6&lt;&gt;"Conflit", U6&lt;&gt;"-"),55,0)</f>
        <v>55</v>
      </c>
      <c r="S152" s="13">
        <f>IF(AND(V6&lt;&gt;"Conflit", V6&lt;&gt;"-"),55,0)</f>
        <v>0</v>
      </c>
      <c r="T152" s="14">
        <f>IF(AND(W6&lt;&gt;"Conflit", W6&lt;&gt;"-"),55,0)</f>
        <v>0</v>
      </c>
    </row>
    <row r="153" spans="14:20" x14ac:dyDescent="0.25">
      <c r="N153" s="12">
        <f>IF(AND(Q7&lt;&gt;"Conflit", Q7&lt;&gt;"-"),55,0)</f>
        <v>0</v>
      </c>
      <c r="O153" s="13">
        <f>IF(AND(R7&lt;&gt;"Conflit", R7&lt;&gt;"-"),55,0)</f>
        <v>0</v>
      </c>
      <c r="P153" s="13">
        <f>IF(AND(S7&lt;&gt;"Conflit", S7&lt;&gt;"-"),55,0)</f>
        <v>55</v>
      </c>
      <c r="Q153" s="13">
        <f>IF(AND(T7&lt;&gt;"Conflit", T7&lt;&gt;"-"),55,0)</f>
        <v>0</v>
      </c>
      <c r="R153" s="13">
        <f>IF(AND(U7&lt;&gt;"Conflit", U7&lt;&gt;"-"),55,0)</f>
        <v>0</v>
      </c>
      <c r="S153" s="13">
        <f>IF(AND(V7&lt;&gt;"Conflit", V7&lt;&gt;"-"),55,0)</f>
        <v>0</v>
      </c>
      <c r="T153" s="14">
        <f>IF(AND(W7&lt;&gt;"Conflit", W7&lt;&gt;"-"),55,0)</f>
        <v>0</v>
      </c>
    </row>
    <row r="154" spans="14:20" x14ac:dyDescent="0.25">
      <c r="N154" s="12">
        <f>IF(AND(Q8&lt;&gt;"Conflit", Q8&lt;&gt;"-"),55,0)</f>
        <v>0</v>
      </c>
      <c r="O154" s="13">
        <f>IF(AND(R8&lt;&gt;"Conflit", R8&lt;&gt;"-"),55,0)</f>
        <v>0</v>
      </c>
      <c r="P154" s="13">
        <f>IF(AND(S8&lt;&gt;"Conflit", S8&lt;&gt;"-"),55,0)</f>
        <v>0</v>
      </c>
      <c r="Q154" s="13">
        <f>IF(AND(T8&lt;&gt;"Conflit", T8&lt;&gt;"-"),55,0)</f>
        <v>0</v>
      </c>
      <c r="R154" s="13">
        <f>IF(AND(U8&lt;&gt;"Conflit", U8&lt;&gt;"-"),55,0)</f>
        <v>0</v>
      </c>
      <c r="S154" s="13">
        <f>IF(AND(V8&lt;&gt;"Conflit", V8&lt;&gt;"-"),55,0)</f>
        <v>0</v>
      </c>
      <c r="T154" s="14">
        <f>IF(AND(W8&lt;&gt;"Conflit", W8&lt;&gt;"-"),55,0)</f>
        <v>0</v>
      </c>
    </row>
    <row r="155" spans="14:20" x14ac:dyDescent="0.25">
      <c r="N155" s="12">
        <f>IF(AND(Q9&lt;&gt;"Conflit", Q9&lt;&gt;"-"),55,0)</f>
        <v>0</v>
      </c>
      <c r="O155" s="13">
        <f>IF(AND(R9&lt;&gt;"Conflit", R9&lt;&gt;"-"),55,0)</f>
        <v>0</v>
      </c>
      <c r="P155" s="13">
        <f>IF(AND(S9&lt;&gt;"Conflit", S9&lt;&gt;"-"),55,0)</f>
        <v>0</v>
      </c>
      <c r="Q155" s="13">
        <f>IF(AND(T9&lt;&gt;"Conflit", T9&lt;&gt;"-"),55,0)</f>
        <v>0</v>
      </c>
      <c r="R155" s="13">
        <f>IF(AND(U9&lt;&gt;"Conflit", U9&lt;&gt;"-"),55,0)</f>
        <v>0</v>
      </c>
      <c r="S155" s="13">
        <f>IF(AND(V9&lt;&gt;"Conflit", V9&lt;&gt;"-"),55,0)</f>
        <v>0</v>
      </c>
      <c r="T155" s="14">
        <f>IF(AND(W9&lt;&gt;"Conflit", W9&lt;&gt;"-"),55,0)</f>
        <v>55</v>
      </c>
    </row>
    <row r="156" spans="14:20" x14ac:dyDescent="0.25">
      <c r="N156" s="12">
        <f>IF(AND(Q10&lt;&gt;"Conflit", Q10&lt;&gt;"-"),55,0)</f>
        <v>0</v>
      </c>
      <c r="O156" s="13">
        <f>IF(AND(R10&lt;&gt;"Conflit", R10&lt;&gt;"-"),55,0)</f>
        <v>0</v>
      </c>
      <c r="P156" s="13">
        <f>IF(AND(S10&lt;&gt;"Conflit", S10&lt;&gt;"-"),55,0)</f>
        <v>0</v>
      </c>
      <c r="Q156" s="13">
        <f>IF(AND(T10&lt;&gt;"Conflit", T10&lt;&gt;"-"),55,0)</f>
        <v>0</v>
      </c>
      <c r="R156" s="13">
        <f>IF(AND(U10&lt;&gt;"Conflit", U10&lt;&gt;"-"),55,0)</f>
        <v>0</v>
      </c>
      <c r="S156" s="13">
        <f>IF(AND(V10&lt;&gt;"Conflit", V10&lt;&gt;"-"),55,0)</f>
        <v>0</v>
      </c>
      <c r="T156" s="14">
        <f>IF(AND(W10&lt;&gt;"Conflit", W10&lt;&gt;"-"),55,0)</f>
        <v>55</v>
      </c>
    </row>
    <row r="157" spans="14:20" x14ac:dyDescent="0.25">
      <c r="N157" s="12">
        <f>IF(AND(Q11&lt;&gt;"Conflit", Q11&lt;&gt;"-"),55,0)</f>
        <v>0</v>
      </c>
      <c r="O157" s="13">
        <f>IF(AND(R11&lt;&gt;"Conflit", R11&lt;&gt;"-"),55,0)</f>
        <v>55</v>
      </c>
      <c r="P157" s="13">
        <f>IF(AND(S11&lt;&gt;"Conflit", S11&lt;&gt;"-"),55,0)</f>
        <v>55</v>
      </c>
      <c r="Q157" s="13">
        <f>IF(AND(T11&lt;&gt;"Conflit", T11&lt;&gt;"-"),55,0)</f>
        <v>0</v>
      </c>
      <c r="R157" s="13">
        <f>IF(AND(U11&lt;&gt;"Conflit", U11&lt;&gt;"-"),55,0)</f>
        <v>0</v>
      </c>
      <c r="S157" s="13">
        <f>IF(AND(V11&lt;&gt;"Conflit", V11&lt;&gt;"-"),55,0)</f>
        <v>0</v>
      </c>
      <c r="T157" s="14">
        <f>IF(AND(W11&lt;&gt;"Conflit", W11&lt;&gt;"-"),55,0)</f>
        <v>0</v>
      </c>
    </row>
    <row r="158" spans="14:20" x14ac:dyDescent="0.25">
      <c r="N158" s="12">
        <f>IF(AND(Q12&lt;&gt;"Conflit", Q12&lt;&gt;"-"),55,0)</f>
        <v>0</v>
      </c>
      <c r="O158" s="13">
        <f>IF(AND(R12&lt;&gt;"Conflit", R12&lt;&gt;"-"),55,0)</f>
        <v>55</v>
      </c>
      <c r="P158" s="13">
        <f>IF(AND(S12&lt;&gt;"Conflit", S12&lt;&gt;"-"),55,0)</f>
        <v>55</v>
      </c>
      <c r="Q158" s="13">
        <f>IF(AND(T12&lt;&gt;"Conflit", T12&lt;&gt;"-"),55,0)</f>
        <v>0</v>
      </c>
      <c r="R158" s="13">
        <f>IF(AND(U12&lt;&gt;"Conflit", U12&lt;&gt;"-"),55,0)</f>
        <v>0</v>
      </c>
      <c r="S158" s="13">
        <f>IF(AND(V12&lt;&gt;"Conflit", V12&lt;&gt;"-"),55,0)</f>
        <v>0</v>
      </c>
      <c r="T158" s="14">
        <f>IF(AND(W12&lt;&gt;"Conflit", W12&lt;&gt;"-"),55,0)</f>
        <v>0</v>
      </c>
    </row>
    <row r="159" spans="14:20" x14ac:dyDescent="0.25">
      <c r="N159" s="12">
        <f>IF(AND(Q13&lt;&gt;"Conflit", Q13&lt;&gt;"-"),55,0)</f>
        <v>0</v>
      </c>
      <c r="O159" s="13">
        <f>IF(AND(R13&lt;&gt;"Conflit", R13&lt;&gt;"-"),55,0)</f>
        <v>0</v>
      </c>
      <c r="P159" s="13">
        <f>IF(AND(S13&lt;&gt;"Conflit", S13&lt;&gt;"-"),55,0)</f>
        <v>0</v>
      </c>
      <c r="Q159" s="13">
        <f>IF(AND(T13&lt;&gt;"Conflit", T13&lt;&gt;"-"),55,0)</f>
        <v>0</v>
      </c>
      <c r="R159" s="13">
        <f>IF(AND(U13&lt;&gt;"Conflit", U13&lt;&gt;"-"),55,0)</f>
        <v>55</v>
      </c>
      <c r="S159" s="13">
        <f>IF(AND(V13&lt;&gt;"Conflit", V13&lt;&gt;"-"),55,0)</f>
        <v>0</v>
      </c>
      <c r="T159" s="14">
        <f>IF(AND(W13&lt;&gt;"Conflit", W13&lt;&gt;"-"),55,0)</f>
        <v>0</v>
      </c>
    </row>
    <row r="160" spans="14:20" x14ac:dyDescent="0.25">
      <c r="N160" s="12">
        <f>IF(AND(Q14&lt;&gt;"Conflit", Q14&lt;&gt;"-"),55,0)</f>
        <v>0</v>
      </c>
      <c r="O160" s="13">
        <f>IF(AND(R14&lt;&gt;"Conflit", R14&lt;&gt;"-"),55,0)</f>
        <v>0</v>
      </c>
      <c r="P160" s="13">
        <f>IF(AND(S14&lt;&gt;"Conflit", S14&lt;&gt;"-"),55,0)</f>
        <v>0</v>
      </c>
      <c r="Q160" s="13">
        <f>IF(AND(T14&lt;&gt;"Conflit", T14&lt;&gt;"-"),55,0)</f>
        <v>0</v>
      </c>
      <c r="R160" s="13">
        <f>IF(AND(U14&lt;&gt;"Conflit", U14&lt;&gt;"-"),55,0)</f>
        <v>55</v>
      </c>
      <c r="S160" s="13">
        <f>IF(AND(V14&lt;&gt;"Conflit", V14&lt;&gt;"-"),55,0)</f>
        <v>0</v>
      </c>
      <c r="T160" s="14">
        <f>IF(AND(W14&lt;&gt;"Conflit", W14&lt;&gt;"-"),55,0)</f>
        <v>0</v>
      </c>
    </row>
    <row r="161" spans="14:20" x14ac:dyDescent="0.25">
      <c r="N161" s="12">
        <f>IF(AND(Q15&lt;&gt;"Conflit", Q15&lt;&gt;"-"),55,0)</f>
        <v>0</v>
      </c>
      <c r="O161" s="13">
        <f>IF(AND(R15&lt;&gt;"Conflit", R15&lt;&gt;"-"),55,0)</f>
        <v>0</v>
      </c>
      <c r="P161" s="13">
        <f>IF(AND(S15&lt;&gt;"Conflit", S15&lt;&gt;"-"),55,0)</f>
        <v>0</v>
      </c>
      <c r="Q161" s="13">
        <f>IF(AND(T15&lt;&gt;"Conflit", T15&lt;&gt;"-"),55,0)</f>
        <v>0</v>
      </c>
      <c r="R161" s="13">
        <f>IF(AND(U15&lt;&gt;"Conflit", U15&lt;&gt;"-"),55,0)</f>
        <v>55</v>
      </c>
      <c r="S161" s="13">
        <f>IF(AND(V15&lt;&gt;"Conflit", V15&lt;&gt;"-"),55,0)</f>
        <v>0</v>
      </c>
      <c r="T161" s="14">
        <f>IF(AND(W15&lt;&gt;"Conflit", W15&lt;&gt;"-"),55,0)</f>
        <v>0</v>
      </c>
    </row>
    <row r="162" spans="14:20" x14ac:dyDescent="0.25">
      <c r="N162" s="15">
        <f>SUM(N151:N161)</f>
        <v>55</v>
      </c>
      <c r="O162" s="16">
        <f t="shared" ref="O162:T162" si="1">SUM(O151:O161)</f>
        <v>220</v>
      </c>
      <c r="P162" s="16">
        <f t="shared" si="1"/>
        <v>165</v>
      </c>
      <c r="Q162" s="16">
        <f t="shared" si="1"/>
        <v>0</v>
      </c>
      <c r="R162" s="16">
        <f t="shared" si="1"/>
        <v>275</v>
      </c>
      <c r="S162" s="16">
        <f t="shared" si="1"/>
        <v>0</v>
      </c>
      <c r="T162" s="17">
        <f t="shared" si="1"/>
        <v>110</v>
      </c>
    </row>
  </sheetData>
  <mergeCells count="6">
    <mergeCell ref="N149:T149"/>
    <mergeCell ref="N2:W2"/>
    <mergeCell ref="B57:I57"/>
    <mergeCell ref="B19:L19"/>
    <mergeCell ref="B4:I4"/>
    <mergeCell ref="B42:I42"/>
  </mergeCells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" operator="containsText" id="{F43626FC-FE46-4620-8EBD-741E39AA3002}">
            <xm:f>NOT(ISERROR(SEARCH("Conflit",Q5)))</xm:f>
            <xm:f>"Conflit"</xm:f>
            <x14:dxf>
              <font>
                <color rgb="FFFF0000"/>
              </font>
              <fill>
                <patternFill>
                  <bgColor rgb="FFFF9797"/>
                </patternFill>
              </fill>
            </x14:dxf>
          </x14:cfRule>
          <x14:cfRule type="containsText" priority="2" operator="containsText" id="{213F98DD-E062-481E-A879-9B08BCB29CD9}">
            <xm:f>NOT(ISERROR(SEARCH($C$28,Q5)))</xm:f>
            <xm:f>$C$28</xm:f>
            <x14:dxf>
              <fill>
                <patternFill>
                  <bgColor rgb="FF00FFCC"/>
                </patternFill>
              </fill>
            </x14:dxf>
          </x14:cfRule>
          <x14:cfRule type="containsText" priority="3" operator="containsText" id="{742A800A-0D6C-4AEF-81CB-8DD4ABED5D42}">
            <xm:f>NOT(ISERROR(SEARCH($C$27,Q5)))</xm:f>
            <xm:f>$C$27</xm:f>
            <x14:dxf>
              <fill>
                <patternFill>
                  <bgColor rgb="FFFF66FF"/>
                </patternFill>
              </fill>
            </x14:dxf>
          </x14:cfRule>
          <x14:cfRule type="containsText" priority="4" operator="containsText" id="{A9C94C3D-F0CA-490B-A500-F85EB096BF33}">
            <xm:f>NOT(ISERROR(SEARCH($C$26,Q5)))</xm:f>
            <xm:f>$C$26</xm:f>
            <x14:dxf>
              <fill>
                <patternFill>
                  <bgColor rgb="FF3366FF"/>
                </patternFill>
              </fill>
            </x14:dxf>
          </x14:cfRule>
          <x14:cfRule type="containsText" priority="5" operator="containsText" id="{CFCFD32C-1AA0-4A6D-AC21-FDFDBD30840D}">
            <xm:f>NOT(ISERROR(SEARCH($C$25,Q5)))</xm:f>
            <xm:f>$C$25</xm:f>
            <x14:dxf>
              <fill>
                <patternFill>
                  <bgColor rgb="FF669900"/>
                </patternFill>
              </fill>
            </x14:dxf>
          </x14:cfRule>
          <x14:cfRule type="containsText" priority="6" operator="containsText" id="{EC97AA0B-C9C9-4504-AF51-8EC58B85FFFA}">
            <xm:f>NOT(ISERROR(SEARCH($C$24,Q5)))</xm:f>
            <xm:f>$C$24</xm:f>
            <x14:dxf>
              <fill>
                <patternFill>
                  <bgColor rgb="FF00CC66"/>
                </patternFill>
              </fill>
            </x14:dxf>
          </x14:cfRule>
          <x14:cfRule type="containsText" priority="7" operator="containsText" id="{8022C311-CB57-4736-9D9C-3B7F07C4215F}">
            <xm:f>NOT(ISERROR(SEARCH($C$23,Q5)))</xm:f>
            <xm:f>$C$23</xm:f>
            <x14:dxf>
              <fill>
                <patternFill>
                  <bgColor rgb="FFA86ED4"/>
                </patternFill>
              </fill>
            </x14:dxf>
          </x14:cfRule>
          <x14:cfRule type="containsText" priority="8" operator="containsText" id="{5CE735B3-0EE6-43D2-9C37-1D51D5A4C508}">
            <xm:f>NOT(ISERROR(SEARCH($C$22,Q5)))</xm:f>
            <xm:f>$C$22</xm:f>
            <x14:dxf>
              <fill>
                <patternFill>
                  <bgColor rgb="FFFFC000"/>
                </patternFill>
              </fill>
            </x14:dxf>
          </x14:cfRule>
          <x14:cfRule type="containsText" priority="9" operator="containsText" id="{B0F924F5-6994-48BE-8C0F-0B959BA0EF2A}">
            <xm:f>NOT(ISERROR(SEARCH($C$21,Q5)))</xm:f>
            <xm:f>$C$21</xm:f>
            <x14:dxf>
              <fill>
                <patternFill>
                  <bgColor theme="5"/>
                </patternFill>
              </fill>
            </x14:dxf>
          </x14:cfRule>
          <x14:cfRule type="containsText" priority="10" operator="containsText" id="{2B771E83-1083-48EE-828E-97D74A7A0EDF}">
            <xm:f>NOT(ISERROR(SEARCH($C$20,Q5)))</xm:f>
            <xm:f>$C$20</xm:f>
            <x14:dxf>
              <fill>
                <patternFill>
                  <bgColor theme="8"/>
                </patternFill>
              </fill>
            </x14:dxf>
          </x14:cfRule>
          <x14:cfRule type="containsText" priority="11" operator="containsText" id="{03722E14-35A3-468F-9B8F-25032FDCDB74}">
            <xm:f>NOT(ISERROR(SEARCH("-",Q5)))</xm:f>
            <xm:f>"-"</xm:f>
            <x14:dxf>
              <fill>
                <patternFill>
                  <bgColor theme="9" tint="0.79998168889431442"/>
                </patternFill>
              </fill>
            </x14:dxf>
          </x14:cfRule>
          <xm:sqref>Q5:W15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13</vt:i4>
      </vt:variant>
    </vt:vector>
  </HeadingPairs>
  <TitlesOfParts>
    <vt:vector size="16" baseType="lpstr">
      <vt:lpstr>Pramètres</vt:lpstr>
      <vt:lpstr>Planification</vt:lpstr>
      <vt:lpstr>Présentation</vt:lpstr>
      <vt:lpstr>Code</vt:lpstr>
      <vt:lpstr>Cours</vt:lpstr>
      <vt:lpstr>DuréeUnePériode</vt:lpstr>
      <vt:lpstr>DurééUnePériode</vt:lpstr>
      <vt:lpstr>HeureDébut</vt:lpstr>
      <vt:lpstr>HeureFin</vt:lpstr>
      <vt:lpstr>HeureInsérée</vt:lpstr>
      <vt:lpstr>JoursPlanification</vt:lpstr>
      <vt:lpstr>JoursSemaine</vt:lpstr>
      <vt:lpstr>ListeLocaux</vt:lpstr>
      <vt:lpstr>NbJoursSemaine</vt:lpstr>
      <vt:lpstr>Nom</vt:lpstr>
      <vt:lpstr>Période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Jean-Christophe Demers</dc:creator>
  <cp:lastModifiedBy>Thomas</cp:lastModifiedBy>
  <dcterms:created xsi:type="dcterms:W3CDTF">2013-10-28T13:00:28Z</dcterms:created>
  <dcterms:modified xsi:type="dcterms:W3CDTF">2017-05-23T03:33:49Z</dcterms:modified>
</cp:coreProperties>
</file>