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6F04D68F-3037-40F3-8CF6-E21CA0896790}" xr6:coauthVersionLast="47" xr6:coauthVersionMax="47" xr10:uidLastSave="{00000000-0000-0000-0000-000000000000}"/>
  <bookViews>
    <workbookView xWindow="-14025" yWindow="4515" windowWidth="28800" windowHeight="7860" xr2:uid="{00000000-000D-0000-FFFF-FFFF00000000}"/>
  </bookViews>
  <sheets>
    <sheet name="Spec Table" sheetId="7" r:id="rId1"/>
    <sheet name="NonStop" sheetId="1" r:id="rId2"/>
    <sheet name="NonStop Fuel Tank" sheetId="3" r:id="rId3"/>
    <sheet name="NonStop CG" sheetId="4" r:id="rId4"/>
    <sheet name="OneStop" sheetId="2" r:id="rId5"/>
    <sheet name="OneStop Fuel Tank" sheetId="5" r:id="rId6"/>
    <sheet name="OneStop C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6" l="1"/>
  <c r="Q15" i="6"/>
  <c r="C23" i="6"/>
  <c r="F23" i="6" s="1"/>
  <c r="H4" i="5"/>
  <c r="M3" i="5"/>
  <c r="D23" i="1"/>
  <c r="D22" i="1"/>
  <c r="D23" i="2"/>
  <c r="D22" i="2"/>
  <c r="D20" i="2"/>
  <c r="L3" i="4"/>
  <c r="Z7" i="4"/>
  <c r="C17" i="4"/>
  <c r="D17" i="4" s="1"/>
  <c r="D21" i="1"/>
  <c r="D20" i="1"/>
  <c r="C25" i="6"/>
  <c r="C17" i="6"/>
  <c r="F17" i="6" s="1"/>
  <c r="I17" i="6" s="1"/>
  <c r="L17" i="6" s="1"/>
  <c r="O21" i="6"/>
  <c r="O22" i="4"/>
  <c r="O22" i="6"/>
  <c r="O21" i="4"/>
  <c r="W5" i="4"/>
  <c r="W6" i="4"/>
  <c r="V6" i="4"/>
  <c r="V5" i="4"/>
  <c r="T4" i="4"/>
  <c r="T5" i="4"/>
  <c r="T3" i="4"/>
  <c r="V3" i="4" s="1"/>
  <c r="U9" i="4"/>
  <c r="O5" i="4"/>
  <c r="Z4" i="4"/>
  <c r="W4" i="4"/>
  <c r="Z3" i="4"/>
  <c r="Z5" i="4" s="1"/>
  <c r="Z6" i="4" s="1"/>
  <c r="O3" i="4"/>
  <c r="C20" i="4"/>
  <c r="F20" i="4"/>
  <c r="Z6" i="6"/>
  <c r="Z4" i="6"/>
  <c r="Z5" i="6" s="1"/>
  <c r="Z3" i="6"/>
  <c r="U9" i="6"/>
  <c r="U8" i="6"/>
  <c r="T7" i="6"/>
  <c r="V5" i="6"/>
  <c r="W5" i="6"/>
  <c r="W4" i="6"/>
  <c r="W3" i="6"/>
  <c r="V3" i="6"/>
  <c r="V4" i="6"/>
  <c r="T4" i="6"/>
  <c r="T3" i="6"/>
  <c r="O5" i="6"/>
  <c r="O3" i="6"/>
  <c r="C19" i="6"/>
  <c r="C21" i="6" s="1"/>
  <c r="F21" i="6" s="1"/>
  <c r="I21" i="6" s="1"/>
  <c r="L21" i="6" s="1"/>
  <c r="C20" i="6"/>
  <c r="F20" i="6" s="1"/>
  <c r="I20" i="6" s="1"/>
  <c r="L20" i="6" s="1"/>
  <c r="L3" i="6"/>
  <c r="B10" i="6"/>
  <c r="B1" i="6"/>
  <c r="C8" i="6" s="1"/>
  <c r="B21" i="6" s="1"/>
  <c r="F25" i="6"/>
  <c r="I25" i="6" s="1"/>
  <c r="B25" i="6"/>
  <c r="C22" i="6"/>
  <c r="F22" i="6" s="1"/>
  <c r="I22" i="6" s="1"/>
  <c r="L22" i="6" s="1"/>
  <c r="C18" i="6"/>
  <c r="F18" i="6" s="1"/>
  <c r="I18" i="6" s="1"/>
  <c r="L18" i="6" s="1"/>
  <c r="F16" i="6"/>
  <c r="I16" i="6" s="1"/>
  <c r="L16" i="6" s="1"/>
  <c r="C11" i="6"/>
  <c r="B24" i="6" s="1"/>
  <c r="C7" i="6"/>
  <c r="B20" i="6" s="1"/>
  <c r="C5" i="6"/>
  <c r="B18" i="6" s="1"/>
  <c r="C23" i="4"/>
  <c r="F23" i="4" s="1"/>
  <c r="G11" i="3"/>
  <c r="K24" i="4"/>
  <c r="K26" i="4" s="1"/>
  <c r="H23" i="4"/>
  <c r="K25" i="4"/>
  <c r="K22" i="4"/>
  <c r="K21" i="4"/>
  <c r="K20" i="4"/>
  <c r="K19" i="4"/>
  <c r="K18" i="4"/>
  <c r="K16" i="4"/>
  <c r="H22" i="4"/>
  <c r="H21" i="4"/>
  <c r="H20" i="4"/>
  <c r="H19" i="4"/>
  <c r="H18" i="4"/>
  <c r="H16" i="4"/>
  <c r="F16" i="4"/>
  <c r="G16" i="4" s="1"/>
  <c r="E22" i="4"/>
  <c r="E21" i="4"/>
  <c r="E20" i="4"/>
  <c r="E19" i="4"/>
  <c r="E18" i="4"/>
  <c r="E16" i="4"/>
  <c r="C25" i="4"/>
  <c r="F25" i="4" s="1"/>
  <c r="G25" i="4" s="1"/>
  <c r="B26" i="4"/>
  <c r="C11" i="4"/>
  <c r="B24" i="4" s="1"/>
  <c r="B10" i="4"/>
  <c r="B18" i="4"/>
  <c r="B25" i="4"/>
  <c r="B22" i="4"/>
  <c r="B21" i="4"/>
  <c r="B19" i="4"/>
  <c r="B16" i="4"/>
  <c r="B20" i="4"/>
  <c r="K17" i="4"/>
  <c r="H17" i="4"/>
  <c r="E17" i="4"/>
  <c r="B17" i="4"/>
  <c r="B1" i="4"/>
  <c r="C8" i="4" s="1"/>
  <c r="I6" i="3"/>
  <c r="I11" i="1"/>
  <c r="I11" i="2"/>
  <c r="I9" i="5"/>
  <c r="C4" i="5"/>
  <c r="C5" i="5"/>
  <c r="C6" i="5"/>
  <c r="D6" i="5" s="1"/>
  <c r="D33" i="1"/>
  <c r="D32" i="1"/>
  <c r="I9" i="3"/>
  <c r="I6" i="5" l="1"/>
  <c r="G6" i="5" s="1"/>
  <c r="C24" i="4"/>
  <c r="F24" i="4" s="1"/>
  <c r="F17" i="4"/>
  <c r="W3" i="4"/>
  <c r="V4" i="4"/>
  <c r="T8" i="4"/>
  <c r="U10" i="4" s="1"/>
  <c r="G20" i="4"/>
  <c r="I20" i="4"/>
  <c r="C28" i="4"/>
  <c r="D20" i="4"/>
  <c r="C28" i="6"/>
  <c r="D25" i="6"/>
  <c r="K25" i="6"/>
  <c r="C24" i="6"/>
  <c r="F24" i="6" s="1"/>
  <c r="C10" i="6"/>
  <c r="B23" i="6" s="1"/>
  <c r="D23" i="6" s="1"/>
  <c r="C6" i="6"/>
  <c r="B19" i="6" s="1"/>
  <c r="D19" i="6" s="1"/>
  <c r="D18" i="6"/>
  <c r="H18" i="6"/>
  <c r="J18" i="6" s="1"/>
  <c r="E18" i="6"/>
  <c r="G18" i="6" s="1"/>
  <c r="K18" i="6"/>
  <c r="M18" i="6" s="1"/>
  <c r="G24" i="6"/>
  <c r="I24" i="6"/>
  <c r="I23" i="6"/>
  <c r="L23" i="6" s="1"/>
  <c r="M23" i="6" s="1"/>
  <c r="G23" i="6"/>
  <c r="H19" i="6"/>
  <c r="E19" i="6"/>
  <c r="E20" i="6"/>
  <c r="G20" i="6" s="1"/>
  <c r="H20" i="6"/>
  <c r="J20" i="6" s="1"/>
  <c r="D20" i="6"/>
  <c r="K20" i="6"/>
  <c r="M20" i="6" s="1"/>
  <c r="H21" i="6"/>
  <c r="J21" i="6" s="1"/>
  <c r="K21" i="6"/>
  <c r="M21" i="6" s="1"/>
  <c r="E21" i="6"/>
  <c r="G21" i="6" s="1"/>
  <c r="D21" i="6"/>
  <c r="L25" i="6"/>
  <c r="M25" i="6" s="1"/>
  <c r="J25" i="6"/>
  <c r="D24" i="6"/>
  <c r="K24" i="6"/>
  <c r="G25" i="6"/>
  <c r="C9" i="6"/>
  <c r="B22" i="6" s="1"/>
  <c r="F19" i="6"/>
  <c r="I19" i="6" s="1"/>
  <c r="L19" i="6" s="1"/>
  <c r="C3" i="6"/>
  <c r="C4" i="6"/>
  <c r="B17" i="6" s="1"/>
  <c r="I16" i="4"/>
  <c r="I25" i="4"/>
  <c r="I23" i="4"/>
  <c r="L23" i="4" s="1"/>
  <c r="M23" i="4" s="1"/>
  <c r="G23" i="4"/>
  <c r="H26" i="4"/>
  <c r="E26" i="4"/>
  <c r="D24" i="4"/>
  <c r="C19" i="4"/>
  <c r="F19" i="4" s="1"/>
  <c r="D16" i="4"/>
  <c r="C18" i="4"/>
  <c r="D25" i="4"/>
  <c r="C22" i="4"/>
  <c r="C3" i="4"/>
  <c r="C9" i="4"/>
  <c r="C5" i="4"/>
  <c r="C10" i="4"/>
  <c r="B23" i="4" s="1"/>
  <c r="C7" i="4"/>
  <c r="C6" i="4"/>
  <c r="C4" i="4"/>
  <c r="G3" i="5"/>
  <c r="C4" i="3"/>
  <c r="C22" i="2"/>
  <c r="C23" i="2" s="1"/>
  <c r="C22" i="1"/>
  <c r="C23" i="1" s="1"/>
  <c r="C15" i="2"/>
  <c r="I13" i="2"/>
  <c r="I16" i="2" s="1"/>
  <c r="I17" i="2" s="1"/>
  <c r="C12" i="2"/>
  <c r="C14" i="2" s="1"/>
  <c r="E12" i="2" s="1"/>
  <c r="G11" i="2"/>
  <c r="E11" i="2"/>
  <c r="G10" i="2"/>
  <c r="G12" i="2" s="1"/>
  <c r="C12" i="1"/>
  <c r="C14" i="1" s="1"/>
  <c r="G10" i="1"/>
  <c r="G12" i="1" s="1"/>
  <c r="G11" i="1"/>
  <c r="E11" i="1"/>
  <c r="C15" i="1"/>
  <c r="I13" i="1"/>
  <c r="I16" i="1" s="1"/>
  <c r="I17" i="1" s="1"/>
  <c r="C6" i="3" s="1"/>
  <c r="D6" i="3" s="1"/>
  <c r="I24" i="4" l="1"/>
  <c r="G24" i="4"/>
  <c r="G17" i="4"/>
  <c r="I17" i="4"/>
  <c r="J20" i="4"/>
  <c r="L20" i="4"/>
  <c r="M20" i="4" s="1"/>
  <c r="J23" i="4"/>
  <c r="G19" i="6"/>
  <c r="J19" i="6"/>
  <c r="K19" i="6"/>
  <c r="M19" i="6" s="1"/>
  <c r="H23" i="6"/>
  <c r="J23" i="6" s="1"/>
  <c r="E22" i="6"/>
  <c r="G22" i="6" s="1"/>
  <c r="D22" i="6"/>
  <c r="K22" i="6"/>
  <c r="M22" i="6" s="1"/>
  <c r="H22" i="6"/>
  <c r="J22" i="6" s="1"/>
  <c r="D17" i="6"/>
  <c r="K17" i="6"/>
  <c r="M17" i="6" s="1"/>
  <c r="H17" i="6"/>
  <c r="J17" i="6" s="1"/>
  <c r="E17" i="6"/>
  <c r="G17" i="6" s="1"/>
  <c r="E12" i="6"/>
  <c r="B16" i="6"/>
  <c r="J24" i="6"/>
  <c r="L24" i="6"/>
  <c r="M24" i="6" s="1"/>
  <c r="D22" i="4"/>
  <c r="F22" i="4"/>
  <c r="D18" i="4"/>
  <c r="F18" i="4"/>
  <c r="J25" i="4"/>
  <c r="L25" i="4"/>
  <c r="M25" i="4" s="1"/>
  <c r="G19" i="4"/>
  <c r="I19" i="4"/>
  <c r="L16" i="4"/>
  <c r="M16" i="4" s="1"/>
  <c r="J16" i="4"/>
  <c r="E12" i="4"/>
  <c r="D23" i="4"/>
  <c r="D19" i="4"/>
  <c r="C21" i="4"/>
  <c r="G7" i="5"/>
  <c r="G5" i="5"/>
  <c r="E12" i="1"/>
  <c r="E13" i="1" s="1"/>
  <c r="E17" i="1" s="1"/>
  <c r="C5" i="3"/>
  <c r="C13" i="2"/>
  <c r="G13" i="1"/>
  <c r="G17" i="1" s="1"/>
  <c r="E13" i="2"/>
  <c r="E17" i="2" s="1"/>
  <c r="G13" i="2"/>
  <c r="G17" i="2" s="1"/>
  <c r="C13" i="1"/>
  <c r="L17" i="4" l="1"/>
  <c r="M17" i="4" s="1"/>
  <c r="J17" i="4"/>
  <c r="J24" i="4"/>
  <c r="L24" i="4"/>
  <c r="M24" i="4" s="1"/>
  <c r="B26" i="6"/>
  <c r="H16" i="6"/>
  <c r="E16" i="6"/>
  <c r="D16" i="6"/>
  <c r="D26" i="6" s="1"/>
  <c r="K16" i="6"/>
  <c r="L19" i="4"/>
  <c r="M19" i="4" s="1"/>
  <c r="J19" i="4"/>
  <c r="G22" i="4"/>
  <c r="I22" i="4"/>
  <c r="D21" i="4"/>
  <c r="D26" i="4" s="1"/>
  <c r="O15" i="4" s="1"/>
  <c r="F21" i="4"/>
  <c r="I18" i="4"/>
  <c r="G18" i="4"/>
  <c r="G8" i="5"/>
  <c r="G11" i="5" s="1"/>
  <c r="G3" i="3"/>
  <c r="G4" i="3"/>
  <c r="G14" i="2"/>
  <c r="G16" i="2" s="1"/>
  <c r="G14" i="1"/>
  <c r="E14" i="1"/>
  <c r="E14" i="2"/>
  <c r="E26" i="6" l="1"/>
  <c r="G16" i="6"/>
  <c r="G26" i="6" s="1"/>
  <c r="O16" i="6" s="1"/>
  <c r="J16" i="6"/>
  <c r="J26" i="6" s="1"/>
  <c r="H26" i="6"/>
  <c r="K26" i="6"/>
  <c r="M16" i="6"/>
  <c r="M26" i="6" s="1"/>
  <c r="O18" i="6" s="1"/>
  <c r="O15" i="6"/>
  <c r="D27" i="6" s="1"/>
  <c r="L18" i="4"/>
  <c r="M18" i="4" s="1"/>
  <c r="J18" i="4"/>
  <c r="G21" i="4"/>
  <c r="G26" i="4" s="1"/>
  <c r="O16" i="4" s="1"/>
  <c r="I21" i="4"/>
  <c r="L22" i="4"/>
  <c r="M22" i="4" s="1"/>
  <c r="J22" i="4"/>
  <c r="D27" i="4"/>
  <c r="G10" i="5"/>
  <c r="G5" i="3"/>
  <c r="G7" i="3"/>
  <c r="G6" i="3"/>
  <c r="G15" i="2"/>
  <c r="G16" i="1"/>
  <c r="G15" i="1"/>
  <c r="E15" i="1"/>
  <c r="E16" i="1"/>
  <c r="E16" i="2"/>
  <c r="E15" i="2"/>
  <c r="O17" i="6" l="1"/>
  <c r="L21" i="4"/>
  <c r="M21" i="4" s="1"/>
  <c r="M26" i="4" s="1"/>
  <c r="O18" i="4" s="1"/>
  <c r="J21" i="4"/>
  <c r="J26" i="4" s="1"/>
  <c r="O17" i="4" s="1"/>
  <c r="G8" i="3"/>
  <c r="G10" i="3" s="1"/>
</calcChain>
</file>

<file path=xl/sharedStrings.xml><?xml version="1.0" encoding="utf-8"?>
<sst xmlns="http://schemas.openxmlformats.org/spreadsheetml/2006/main" count="416" uniqueCount="181">
  <si>
    <t>Constants</t>
  </si>
  <si>
    <t>Fuel Density (lbs/gal)</t>
  </si>
  <si>
    <t>Wing Sizing</t>
  </si>
  <si>
    <t>Horizontal Tail Sizing</t>
  </si>
  <si>
    <t>Vertical Tail Sizing</t>
  </si>
  <si>
    <t>Weight Calculations</t>
  </si>
  <si>
    <t>Fuel Weight and Density</t>
  </si>
  <si>
    <t>Engine Sizing</t>
  </si>
  <si>
    <t>AR</t>
  </si>
  <si>
    <t>Taper Ratio</t>
  </si>
  <si>
    <t>Sweep Angle</t>
  </si>
  <si>
    <t xml:space="preserve">S </t>
  </si>
  <si>
    <t>b</t>
  </si>
  <si>
    <t>Root Chord</t>
  </si>
  <si>
    <t>Tip Chord</t>
  </si>
  <si>
    <t>MAC</t>
  </si>
  <si>
    <t>Y bar</t>
  </si>
  <si>
    <t># Engines</t>
  </si>
  <si>
    <t>Fuselage Length</t>
  </si>
  <si>
    <t>Fuselage Width</t>
  </si>
  <si>
    <t>W_0</t>
  </si>
  <si>
    <t>W_f</t>
  </si>
  <si>
    <t>Wf/W_to</t>
  </si>
  <si>
    <t>Fuel Weight</t>
  </si>
  <si>
    <t>Fuel (Gal)</t>
  </si>
  <si>
    <t>Fuel (ft^3)</t>
  </si>
  <si>
    <t>Max Static Sea Level Thrust</t>
  </si>
  <si>
    <t>Bypass Ratio</t>
  </si>
  <si>
    <t>Fan Diameter (in)</t>
  </si>
  <si>
    <t>Engine Length (in)</t>
  </si>
  <si>
    <t>Nacell Diameter</t>
  </si>
  <si>
    <t>Nacell Length</t>
  </si>
  <si>
    <t>TOW</t>
  </si>
  <si>
    <t>Volume Coef</t>
  </si>
  <si>
    <t>Tail arm</t>
  </si>
  <si>
    <t>Tail Arm</t>
  </si>
  <si>
    <t>Wing Parameters</t>
  </si>
  <si>
    <t>t/c_avg</t>
  </si>
  <si>
    <t>Fuel</t>
  </si>
  <si>
    <t>Front Spar Location/Chord</t>
  </si>
  <si>
    <t>Rear Spar Location/Chord</t>
  </si>
  <si>
    <t>Rectangular Frustrum Parameter</t>
  </si>
  <si>
    <t>Base Height</t>
  </si>
  <si>
    <t>Base Width</t>
  </si>
  <si>
    <t>A1</t>
  </si>
  <si>
    <t>A2</t>
  </si>
  <si>
    <t>Length of Tank</t>
  </si>
  <si>
    <t>Vol of Tank</t>
  </si>
  <si>
    <t>Centroid Location</t>
  </si>
  <si>
    <t>Tank Height/(tc_avg)</t>
  </si>
  <si>
    <t>Tip Height</t>
  </si>
  <si>
    <t>Tip Width</t>
  </si>
  <si>
    <t>Fuel Tip Chord</t>
  </si>
  <si>
    <t>MAX LENGTH</t>
  </si>
  <si>
    <t>Tails</t>
  </si>
  <si>
    <t>PP</t>
  </si>
  <si>
    <t>Fixed Equip</t>
  </si>
  <si>
    <t>Passanger</t>
  </si>
  <si>
    <t>Cargo</t>
  </si>
  <si>
    <t>Component</t>
  </si>
  <si>
    <t>Design</t>
  </si>
  <si>
    <t>Empty</t>
  </si>
  <si>
    <t>Ferry</t>
  </si>
  <si>
    <t>Landing</t>
  </si>
  <si>
    <t>Weight</t>
  </si>
  <si>
    <t>Length</t>
  </si>
  <si>
    <t>Moment</t>
  </si>
  <si>
    <t>CG Design</t>
  </si>
  <si>
    <t>CG Empty</t>
  </si>
  <si>
    <t>CG Ferry</t>
  </si>
  <si>
    <t>CG Landing</t>
  </si>
  <si>
    <t>Fuselage</t>
  </si>
  <si>
    <t>Landing Gear</t>
  </si>
  <si>
    <t>Nacel + Pylon</t>
  </si>
  <si>
    <t>Sum</t>
  </si>
  <si>
    <t xml:space="preserve">TOGW </t>
  </si>
  <si>
    <t>COEFS</t>
  </si>
  <si>
    <t>Wing</t>
  </si>
  <si>
    <t>Configurations</t>
  </si>
  <si>
    <t>PAX</t>
  </si>
  <si>
    <t>delta 1/4 MAC</t>
  </si>
  <si>
    <t>Forward</t>
  </si>
  <si>
    <t>AFT</t>
  </si>
  <si>
    <t>Cargo Size</t>
  </si>
  <si>
    <t>ft^3</t>
  </si>
  <si>
    <t>Landing Gear:</t>
  </si>
  <si>
    <t>Load per wheel</t>
  </si>
  <si>
    <t>main gear tire size</t>
  </si>
  <si>
    <t>44 x 16</t>
  </si>
  <si>
    <t>40 x 14</t>
  </si>
  <si>
    <t>nose gear tire size</t>
  </si>
  <si>
    <t>Passangers:</t>
  </si>
  <si>
    <t>1st Class</t>
  </si>
  <si>
    <t>Econ</t>
  </si>
  <si>
    <t>Lavs</t>
  </si>
  <si>
    <t>Galley</t>
  </si>
  <si>
    <t>Exits:</t>
  </si>
  <si>
    <t>Type A:</t>
  </si>
  <si>
    <t>Type I:</t>
  </si>
  <si>
    <t>LD-W</t>
  </si>
  <si>
    <t>containers needed</t>
  </si>
  <si>
    <t>Non-Stop</t>
  </si>
  <si>
    <t>=0.2 * "Wing Root@Sketch2"</t>
  </si>
  <si>
    <t>=0.8 * "Wing Root@Sketch2"</t>
  </si>
  <si>
    <t>=0.2 * "Wing Tip@Sketch2"</t>
  </si>
  <si>
    <t>56 x 16</t>
  </si>
  <si>
    <t>44 x 14</t>
  </si>
  <si>
    <t>Business</t>
  </si>
  <si>
    <t>Final Detailed Configuration</t>
  </si>
  <si>
    <t>Parameter</t>
  </si>
  <si>
    <t>Non-Stop Aircraft</t>
  </si>
  <si>
    <t>One-Stop Aircraft</t>
  </si>
  <si>
    <t>Main Wing</t>
  </si>
  <si>
    <t>Sweep (deg)</t>
  </si>
  <si>
    <t>Aspect Ratio</t>
  </si>
  <si>
    <t>Planform Area (ft^2)</t>
  </si>
  <si>
    <t>Span (ft)</t>
  </si>
  <si>
    <t>Root Chord (ft)</t>
  </si>
  <si>
    <t>MAC (ft)</t>
  </si>
  <si>
    <t>Wing Dihedral (deg)</t>
  </si>
  <si>
    <t>Horizontal Tail</t>
  </si>
  <si>
    <t>Vertical Tail</t>
  </si>
  <si>
    <t>Engine/Nacelle</t>
  </si>
  <si>
    <t>Inlet Diameter (ft)</t>
  </si>
  <si>
    <t>Length (ft)</t>
  </si>
  <si>
    <t>Fuel Tank</t>
  </si>
  <si>
    <t>Tank Volume (ft^3)</t>
  </si>
  <si>
    <t>Span Wise Location (ft)</t>
  </si>
  <si>
    <t>0.2 / 0.8</t>
  </si>
  <si>
    <t>0.2 / 0.7</t>
  </si>
  <si>
    <t>Nose Gear Tire Size</t>
  </si>
  <si>
    <t>Main Gear Tire Size</t>
  </si>
  <si>
    <t>Aft CG Angle</t>
  </si>
  <si>
    <t>Tip Back Angle</t>
  </si>
  <si>
    <t>Cargo Container</t>
  </si>
  <si>
    <t>Number of Containers</t>
  </si>
  <si>
    <t>Total Cargo Volume (ft^3)</t>
  </si>
  <si>
    <t>Interior</t>
  </si>
  <si>
    <t>12 / 42 / 171</t>
  </si>
  <si>
    <t>18 / X / 207</t>
  </si>
  <si>
    <t>60 / 38 / 32</t>
  </si>
  <si>
    <t>40 / X / 32</t>
  </si>
  <si>
    <t>28 / 25 / 25</t>
  </si>
  <si>
    <t>28 / X / 25</t>
  </si>
  <si>
    <t>43 / 36 / 32</t>
  </si>
  <si>
    <t>36 / X / 32</t>
  </si>
  <si>
    <t>24 / 20 / 18</t>
  </si>
  <si>
    <t>22 / X / 20</t>
  </si>
  <si>
    <t>25 / 20 / 18</t>
  </si>
  <si>
    <t>10 / X / 15</t>
  </si>
  <si>
    <t>5 / X / 16</t>
  </si>
  <si>
    <t>Galley Size (in)</t>
  </si>
  <si>
    <t>15 x 36</t>
  </si>
  <si>
    <t>1 / X / 4</t>
  </si>
  <si>
    <t>Lav Size (in)</t>
  </si>
  <si>
    <t>38 x 40</t>
  </si>
  <si>
    <t>Entry Door Size (in)</t>
  </si>
  <si>
    <t>A: 42w x 72h</t>
  </si>
  <si>
    <t>Emergency Door Size (in)</t>
  </si>
  <si>
    <t>I: 24w x 48h</t>
  </si>
  <si>
    <t>Diameter (ft)</t>
  </si>
  <si>
    <t>Fineness Ratio (L/D)</t>
  </si>
  <si>
    <t>Upsweep (deg)</t>
  </si>
  <si>
    <t>Pilot Viewing Angle (deg)</t>
  </si>
  <si>
    <t>CG Positions (in from fuselage tip)</t>
  </si>
  <si>
    <t>Forward Limit</t>
  </si>
  <si>
    <t>Design CG</t>
  </si>
  <si>
    <t>Empty CG</t>
  </si>
  <si>
    <t>Ferry CG</t>
  </si>
  <si>
    <t>Landing CG</t>
  </si>
  <si>
    <t>Aft Limit</t>
  </si>
  <si>
    <t>Passenger Mix
(1st class/Business/Economy)</t>
  </si>
  <si>
    <t>Seat Pitch (in)
(1st class/Business/Economy)</t>
  </si>
  <si>
    <t>Seat Depth (in)
(1st class/Business/Economy)</t>
  </si>
  <si>
    <t>Seat Recline (in)
(1st class/Business/Economy)</t>
  </si>
  <si>
    <t>Bulkhead to Seat Nose (in)
(1st class/Business/Economy)</t>
  </si>
  <si>
    <t>Aisle Width (in)
(1st class/Business/Economy)</t>
  </si>
  <si>
    <t>Number of Galley Carts
(1st class/Business/Economy)</t>
  </si>
  <si>
    <t xml:space="preserve"> 4 / 9 / 13</t>
  </si>
  <si>
    <t xml:space="preserve"> 1 / 1 / 3</t>
  </si>
  <si>
    <t>Number of Lavs
(1st class/Business/Economy)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</si>
</sst>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1AA5E"/>
        <bgColor indexed="64"/>
      </patternFill>
    </fill>
    <fill>
      <patternFill patternType="solid">
        <fgColor rgb="FFF8A10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CC67"/>
        <bgColor indexed="64"/>
      </patternFill>
    </fill>
    <fill>
      <patternFill patternType="solid">
        <fgColor rgb="FFFFFE65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CBCEFB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FFFC9E"/>
        <bgColor indexed="64"/>
      </patternFill>
    </fill>
    <fill>
      <patternFill patternType="solid">
        <fgColor rgb="FF9A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EA76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3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applyBorder="1"/>
    <xf numFmtId="0" fontId="0" fillId="6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0" xfId="0" applyFont="1" applyFill="1" applyBorder="1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vertical="center" wrapText="1"/>
    </xf>
    <xf numFmtId="0" fontId="1" fillId="14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23" borderId="4" xfId="0" applyFont="1" applyFill="1" applyBorder="1" applyAlignment="1">
      <alignment horizontal="center" vertical="center" wrapText="1"/>
    </xf>
    <xf numFmtId="0" fontId="1" fillId="23" borderId="5" xfId="0" applyFont="1" applyFill="1" applyBorder="1" applyAlignment="1">
      <alignment horizontal="center" vertical="center" wrapText="1"/>
    </xf>
    <xf numFmtId="0" fontId="1" fillId="23" borderId="6" xfId="0" applyFont="1" applyFill="1" applyBorder="1" applyAlignment="1">
      <alignment horizontal="center" vertical="center" wrapText="1"/>
    </xf>
    <xf numFmtId="0" fontId="1" fillId="23" borderId="8" xfId="0" applyFont="1" applyFill="1" applyBorder="1" applyAlignment="1">
      <alignment horizontal="center" vertical="center" wrapText="1"/>
    </xf>
    <xf numFmtId="0" fontId="1" fillId="23" borderId="9" xfId="0" applyFont="1" applyFill="1" applyBorder="1" applyAlignment="1">
      <alignment horizontal="center" vertical="center" wrapText="1"/>
    </xf>
    <xf numFmtId="0" fontId="1" fillId="2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8" xfId="0" applyFont="1" applyFill="1" applyBorder="1" applyAlignment="1">
      <alignment horizontal="center" vertical="center" wrapText="1"/>
    </xf>
    <xf numFmtId="0" fontId="1" fillId="22" borderId="9" xfId="0" applyFont="1" applyFill="1" applyBorder="1" applyAlignment="1">
      <alignment horizontal="center" vertical="center" wrapText="1"/>
    </xf>
    <xf numFmtId="0" fontId="1" fillId="2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14" borderId="15" xfId="0" applyNumberFormat="1" applyFill="1" applyBorder="1" applyAlignment="1">
      <alignment horizontal="center" vertical="center" wrapText="1"/>
    </xf>
    <xf numFmtId="14" fontId="0" fillId="14" borderId="15" xfId="0" applyNumberForma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8" xfId="0" applyFont="1" applyFill="1" applyBorder="1" applyAlignment="1">
      <alignment horizontal="center" vertical="center" wrapText="1"/>
    </xf>
    <xf numFmtId="0" fontId="1" fillId="21" borderId="9" xfId="0" applyFont="1" applyFill="1" applyBorder="1" applyAlignment="1">
      <alignment horizontal="center" vertical="center" wrapText="1"/>
    </xf>
    <xf numFmtId="0" fontId="1" fillId="21" borderId="10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8" xfId="0" applyFont="1" applyFill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 wrapText="1"/>
    </xf>
    <xf numFmtId="0" fontId="1" fillId="20" borderId="10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5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29</xdr:row>
      <xdr:rowOff>66675</xdr:rowOff>
    </xdr:from>
    <xdr:to>
      <xdr:col>14</xdr:col>
      <xdr:colOff>160946</xdr:colOff>
      <xdr:row>49</xdr:row>
      <xdr:rowOff>132865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8EFE-B697-41BB-AEE6-0B321D7BD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5591175"/>
          <a:ext cx="7828571" cy="3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29</xdr:row>
      <xdr:rowOff>57150</xdr:rowOff>
    </xdr:from>
    <xdr:to>
      <xdr:col>8</xdr:col>
      <xdr:colOff>419100</xdr:colOff>
      <xdr:row>52</xdr:row>
      <xdr:rowOff>8135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0C401-798A-4C3C-A367-24B4EFDB9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5581650"/>
          <a:ext cx="5324475" cy="433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DA2F-D632-4FFE-8AE9-9CCB46C5499E}">
  <dimension ref="B1:L155"/>
  <sheetViews>
    <sheetView tabSelected="1" zoomScale="85" zoomScaleNormal="85" workbookViewId="0">
      <selection activeCell="G51" sqref="G51"/>
    </sheetView>
  </sheetViews>
  <sheetFormatPr defaultRowHeight="15" x14ac:dyDescent="0.25"/>
  <cols>
    <col min="2" max="2" width="28.5703125" customWidth="1"/>
    <col min="3" max="4" width="16.5703125" bestFit="1" customWidth="1"/>
    <col min="5" max="5" width="2.28515625" customWidth="1"/>
    <col min="6" max="8" width="16.5703125" customWidth="1"/>
    <col min="9" max="9" width="0.85546875" customWidth="1"/>
    <col min="10" max="10" width="27.5703125" bestFit="1" customWidth="1"/>
    <col min="11" max="12" width="11.85546875" bestFit="1" customWidth="1"/>
  </cols>
  <sheetData>
    <row r="1" spans="2:12" ht="15.75" thickBot="1" x14ac:dyDescent="0.3"/>
    <row r="2" spans="2:12" x14ac:dyDescent="0.25">
      <c r="B2" s="27" t="s">
        <v>108</v>
      </c>
      <c r="C2" s="28"/>
      <c r="D2" s="29"/>
      <c r="F2" s="27" t="s">
        <v>108</v>
      </c>
      <c r="G2" s="28"/>
      <c r="H2" s="29"/>
      <c r="I2" s="63"/>
      <c r="J2" s="27" t="s">
        <v>108</v>
      </c>
      <c r="K2" s="28"/>
      <c r="L2" s="29"/>
    </row>
    <row r="3" spans="2:12" ht="15.75" thickBot="1" x14ac:dyDescent="0.3">
      <c r="B3" s="30"/>
      <c r="C3" s="31"/>
      <c r="D3" s="32"/>
      <c r="F3" s="30"/>
      <c r="G3" s="31"/>
      <c r="H3" s="32"/>
      <c r="I3" s="63"/>
      <c r="J3" s="30"/>
      <c r="K3" s="31"/>
      <c r="L3" s="32"/>
    </row>
    <row r="4" spans="2:12" x14ac:dyDescent="0.25">
      <c r="B4" s="33" t="s">
        <v>109</v>
      </c>
      <c r="C4" s="37" t="s">
        <v>110</v>
      </c>
      <c r="D4" s="35" t="s">
        <v>111</v>
      </c>
      <c r="F4" s="33" t="s">
        <v>109</v>
      </c>
      <c r="G4" s="37" t="s">
        <v>110</v>
      </c>
      <c r="H4" s="35" t="s">
        <v>111</v>
      </c>
      <c r="J4" s="33" t="s">
        <v>109</v>
      </c>
      <c r="K4" s="37" t="s">
        <v>110</v>
      </c>
      <c r="L4" s="35" t="s">
        <v>111</v>
      </c>
    </row>
    <row r="5" spans="2:12" ht="15.75" thickBot="1" x14ac:dyDescent="0.3">
      <c r="B5" s="34"/>
      <c r="C5" s="38"/>
      <c r="D5" s="36"/>
      <c r="F5" s="34"/>
      <c r="G5" s="38"/>
      <c r="H5" s="36"/>
      <c r="J5" s="34"/>
      <c r="K5" s="38"/>
      <c r="L5" s="36"/>
    </row>
    <row r="6" spans="2:12" x14ac:dyDescent="0.25">
      <c r="B6" s="113" t="s">
        <v>112</v>
      </c>
      <c r="C6" s="114"/>
      <c r="D6" s="115"/>
      <c r="F6" s="93" t="s">
        <v>122</v>
      </c>
      <c r="G6" s="94"/>
      <c r="H6" s="95"/>
      <c r="I6" s="56"/>
      <c r="J6" s="69" t="s">
        <v>137</v>
      </c>
      <c r="K6" s="70"/>
      <c r="L6" s="71"/>
    </row>
    <row r="7" spans="2:12" ht="15.75" thickBot="1" x14ac:dyDescent="0.3">
      <c r="B7" s="116"/>
      <c r="C7" s="117"/>
      <c r="D7" s="118"/>
      <c r="F7" s="96"/>
      <c r="G7" s="97"/>
      <c r="H7" s="98"/>
      <c r="I7" s="56"/>
      <c r="J7" s="72"/>
      <c r="K7" s="73"/>
      <c r="L7" s="74"/>
    </row>
    <row r="8" spans="2:12" x14ac:dyDescent="0.25">
      <c r="B8" s="42" t="s">
        <v>113</v>
      </c>
      <c r="C8" s="119">
        <v>37</v>
      </c>
      <c r="D8" s="120">
        <v>31</v>
      </c>
      <c r="F8" s="42" t="s">
        <v>123</v>
      </c>
      <c r="G8" s="43">
        <v>9.6</v>
      </c>
      <c r="H8" s="44">
        <v>7.6</v>
      </c>
      <c r="J8" s="39" t="s">
        <v>171</v>
      </c>
      <c r="K8" s="43" t="s">
        <v>138</v>
      </c>
      <c r="L8" s="44" t="s">
        <v>139</v>
      </c>
    </row>
    <row r="9" spans="2:12" x14ac:dyDescent="0.25">
      <c r="B9" s="42"/>
      <c r="C9" s="112"/>
      <c r="D9" s="44"/>
      <c r="F9" s="42"/>
      <c r="G9" s="43"/>
      <c r="H9" s="44"/>
      <c r="J9" s="40"/>
      <c r="K9" s="43"/>
      <c r="L9" s="44"/>
    </row>
    <row r="10" spans="2:12" x14ac:dyDescent="0.25">
      <c r="B10" s="45" t="s">
        <v>9</v>
      </c>
      <c r="C10" s="105">
        <v>0.35</v>
      </c>
      <c r="D10" s="48">
        <v>0.35</v>
      </c>
      <c r="F10" s="45" t="s">
        <v>124</v>
      </c>
      <c r="G10" s="46">
        <v>23</v>
      </c>
      <c r="H10" s="48">
        <v>18.2</v>
      </c>
      <c r="J10" s="40"/>
      <c r="K10" s="43"/>
      <c r="L10" s="44"/>
    </row>
    <row r="11" spans="2:12" ht="15.75" thickBot="1" x14ac:dyDescent="0.3">
      <c r="B11" s="45"/>
      <c r="C11" s="105"/>
      <c r="D11" s="48"/>
      <c r="F11" s="45"/>
      <c r="G11" s="46"/>
      <c r="H11" s="48"/>
      <c r="J11" s="40"/>
      <c r="K11" s="43"/>
      <c r="L11" s="44"/>
    </row>
    <row r="12" spans="2:12" x14ac:dyDescent="0.25">
      <c r="B12" s="42" t="s">
        <v>114</v>
      </c>
      <c r="C12" s="112">
        <v>7.9</v>
      </c>
      <c r="D12" s="44">
        <v>9.5</v>
      </c>
      <c r="F12" s="87" t="s">
        <v>125</v>
      </c>
      <c r="G12" s="88"/>
      <c r="H12" s="89"/>
      <c r="J12" s="41" t="s">
        <v>172</v>
      </c>
      <c r="K12" s="46" t="s">
        <v>140</v>
      </c>
      <c r="L12" s="48" t="s">
        <v>141</v>
      </c>
    </row>
    <row r="13" spans="2:12" ht="15.75" thickBot="1" x14ac:dyDescent="0.3">
      <c r="B13" s="42"/>
      <c r="C13" s="112"/>
      <c r="D13" s="44"/>
      <c r="F13" s="90"/>
      <c r="G13" s="91"/>
      <c r="H13" s="92"/>
      <c r="J13" s="41"/>
      <c r="K13" s="46"/>
      <c r="L13" s="48"/>
    </row>
    <row r="14" spans="2:12" x14ac:dyDescent="0.25">
      <c r="B14" s="45" t="s">
        <v>115</v>
      </c>
      <c r="C14" s="105">
        <v>2567</v>
      </c>
      <c r="D14" s="48">
        <v>2224</v>
      </c>
      <c r="F14" s="42" t="s">
        <v>126</v>
      </c>
      <c r="G14" s="43">
        <v>1677</v>
      </c>
      <c r="H14" s="44">
        <v>1276</v>
      </c>
      <c r="J14" s="41"/>
      <c r="K14" s="46"/>
      <c r="L14" s="48"/>
    </row>
    <row r="15" spans="2:12" x14ac:dyDescent="0.25">
      <c r="B15" s="45"/>
      <c r="C15" s="105"/>
      <c r="D15" s="48"/>
      <c r="F15" s="42"/>
      <c r="G15" s="43"/>
      <c r="H15" s="44"/>
      <c r="J15" s="41"/>
      <c r="K15" s="46"/>
      <c r="L15" s="48"/>
    </row>
    <row r="16" spans="2:12" x14ac:dyDescent="0.25">
      <c r="B16" s="42" t="s">
        <v>116</v>
      </c>
      <c r="C16" s="112">
        <v>142</v>
      </c>
      <c r="D16" s="44">
        <v>145</v>
      </c>
      <c r="F16" s="45" t="s">
        <v>127</v>
      </c>
      <c r="G16" s="46" t="s">
        <v>128</v>
      </c>
      <c r="H16" s="48" t="s">
        <v>129</v>
      </c>
      <c r="J16" s="40" t="s">
        <v>173</v>
      </c>
      <c r="K16" s="43" t="s">
        <v>142</v>
      </c>
      <c r="L16" s="44" t="s">
        <v>143</v>
      </c>
    </row>
    <row r="17" spans="2:12" ht="15.75" thickBot="1" x14ac:dyDescent="0.3">
      <c r="B17" s="42"/>
      <c r="C17" s="112"/>
      <c r="D17" s="44"/>
      <c r="F17" s="45"/>
      <c r="G17" s="46"/>
      <c r="H17" s="48"/>
      <c r="J17" s="40"/>
      <c r="K17" s="43"/>
      <c r="L17" s="44"/>
    </row>
    <row r="18" spans="2:12" x14ac:dyDescent="0.25">
      <c r="B18" s="45" t="s">
        <v>117</v>
      </c>
      <c r="C18" s="105">
        <v>26.8</v>
      </c>
      <c r="D18" s="48">
        <v>22.7</v>
      </c>
      <c r="F18" s="81" t="s">
        <v>72</v>
      </c>
      <c r="G18" s="82"/>
      <c r="H18" s="83"/>
      <c r="J18" s="40"/>
      <c r="K18" s="43"/>
      <c r="L18" s="44"/>
    </row>
    <row r="19" spans="2:12" ht="15.75" thickBot="1" x14ac:dyDescent="0.3">
      <c r="B19" s="45"/>
      <c r="C19" s="105"/>
      <c r="D19" s="48"/>
      <c r="F19" s="84"/>
      <c r="G19" s="85"/>
      <c r="H19" s="86"/>
      <c r="J19" s="40"/>
      <c r="K19" s="43"/>
      <c r="L19" s="44"/>
    </row>
    <row r="20" spans="2:12" x14ac:dyDescent="0.25">
      <c r="B20" s="42" t="s">
        <v>118</v>
      </c>
      <c r="C20" s="112">
        <v>14.5</v>
      </c>
      <c r="D20" s="44">
        <v>12.3</v>
      </c>
      <c r="F20" s="42" t="s">
        <v>130</v>
      </c>
      <c r="G20" s="43" t="s">
        <v>106</v>
      </c>
      <c r="H20" s="44" t="s">
        <v>89</v>
      </c>
      <c r="J20" s="41" t="s">
        <v>174</v>
      </c>
      <c r="K20" s="46" t="s">
        <v>144</v>
      </c>
      <c r="L20" s="48" t="s">
        <v>145</v>
      </c>
    </row>
    <row r="21" spans="2:12" x14ac:dyDescent="0.25">
      <c r="B21" s="42"/>
      <c r="C21" s="112"/>
      <c r="D21" s="44"/>
      <c r="F21" s="42"/>
      <c r="G21" s="43"/>
      <c r="H21" s="44"/>
      <c r="J21" s="41"/>
      <c r="K21" s="46"/>
      <c r="L21" s="48"/>
    </row>
    <row r="22" spans="2:12" x14ac:dyDescent="0.25">
      <c r="B22" s="45" t="s">
        <v>119</v>
      </c>
      <c r="C22" s="105">
        <v>6</v>
      </c>
      <c r="D22" s="48">
        <v>6</v>
      </c>
      <c r="F22" s="45" t="s">
        <v>131</v>
      </c>
      <c r="G22" s="46" t="s">
        <v>105</v>
      </c>
      <c r="H22" s="48" t="s">
        <v>88</v>
      </c>
      <c r="J22" s="41"/>
      <c r="K22" s="46"/>
      <c r="L22" s="48"/>
    </row>
    <row r="23" spans="2:12" ht="15.75" thickBot="1" x14ac:dyDescent="0.3">
      <c r="B23" s="45"/>
      <c r="C23" s="105"/>
      <c r="D23" s="48"/>
      <c r="F23" s="45"/>
      <c r="G23" s="46"/>
      <c r="H23" s="48"/>
      <c r="J23" s="41"/>
      <c r="K23" s="46"/>
      <c r="L23" s="48"/>
    </row>
    <row r="24" spans="2:12" x14ac:dyDescent="0.25">
      <c r="B24" s="106" t="s">
        <v>120</v>
      </c>
      <c r="C24" s="107"/>
      <c r="D24" s="108"/>
      <c r="F24" s="42" t="s">
        <v>132</v>
      </c>
      <c r="G24" s="43"/>
      <c r="H24" s="44"/>
      <c r="I24" s="56"/>
      <c r="J24" s="40" t="s">
        <v>175</v>
      </c>
      <c r="K24" s="43" t="s">
        <v>146</v>
      </c>
      <c r="L24" s="44" t="s">
        <v>147</v>
      </c>
    </row>
    <row r="25" spans="2:12" ht="15.75" thickBot="1" x14ac:dyDescent="0.3">
      <c r="B25" s="109"/>
      <c r="C25" s="110"/>
      <c r="D25" s="111"/>
      <c r="F25" s="42"/>
      <c r="G25" s="43"/>
      <c r="H25" s="44"/>
      <c r="I25" s="56"/>
      <c r="J25" s="40"/>
      <c r="K25" s="43"/>
      <c r="L25" s="44"/>
    </row>
    <row r="26" spans="2:12" x14ac:dyDescent="0.25">
      <c r="B26" s="42" t="s">
        <v>113</v>
      </c>
      <c r="C26" s="43">
        <v>42</v>
      </c>
      <c r="D26" s="44">
        <v>36</v>
      </c>
      <c r="F26" s="45" t="s">
        <v>133</v>
      </c>
      <c r="G26" s="46"/>
      <c r="H26" s="48"/>
      <c r="J26" s="40"/>
      <c r="K26" s="43"/>
      <c r="L26" s="44"/>
    </row>
    <row r="27" spans="2:12" ht="15.75" thickBot="1" x14ac:dyDescent="0.3">
      <c r="B27" s="42"/>
      <c r="C27" s="43"/>
      <c r="D27" s="44"/>
      <c r="F27" s="45"/>
      <c r="G27" s="46"/>
      <c r="H27" s="48"/>
      <c r="J27" s="40"/>
      <c r="K27" s="43"/>
      <c r="L27" s="44"/>
    </row>
    <row r="28" spans="2:12" x14ac:dyDescent="0.25">
      <c r="B28" s="45" t="s">
        <v>9</v>
      </c>
      <c r="C28" s="46">
        <v>0.35</v>
      </c>
      <c r="D28" s="48">
        <v>0.35</v>
      </c>
      <c r="F28" s="75" t="s">
        <v>58</v>
      </c>
      <c r="G28" s="76"/>
      <c r="H28" s="77"/>
      <c r="J28" s="41" t="s">
        <v>176</v>
      </c>
      <c r="K28" s="46" t="s">
        <v>148</v>
      </c>
      <c r="L28" s="48" t="s">
        <v>149</v>
      </c>
    </row>
    <row r="29" spans="2:12" ht="15.75" thickBot="1" x14ac:dyDescent="0.3">
      <c r="B29" s="45"/>
      <c r="C29" s="46"/>
      <c r="D29" s="48"/>
      <c r="F29" s="78"/>
      <c r="G29" s="79"/>
      <c r="H29" s="80"/>
      <c r="J29" s="41"/>
      <c r="K29" s="46"/>
      <c r="L29" s="48"/>
    </row>
    <row r="30" spans="2:12" x14ac:dyDescent="0.25">
      <c r="B30" s="42" t="s">
        <v>114</v>
      </c>
      <c r="C30" s="43">
        <v>4</v>
      </c>
      <c r="D30" s="44">
        <v>4</v>
      </c>
      <c r="F30" s="42" t="s">
        <v>134</v>
      </c>
      <c r="G30" s="43" t="s">
        <v>99</v>
      </c>
      <c r="H30" s="44" t="s">
        <v>99</v>
      </c>
      <c r="J30" s="41"/>
      <c r="K30" s="46"/>
      <c r="L30" s="48"/>
    </row>
    <row r="31" spans="2:12" x14ac:dyDescent="0.25">
      <c r="B31" s="42"/>
      <c r="C31" s="43"/>
      <c r="D31" s="44"/>
      <c r="F31" s="42"/>
      <c r="G31" s="43"/>
      <c r="H31" s="44"/>
      <c r="J31" s="41"/>
      <c r="K31" s="46"/>
      <c r="L31" s="48"/>
    </row>
    <row r="32" spans="2:12" x14ac:dyDescent="0.25">
      <c r="B32" s="45" t="s">
        <v>115</v>
      </c>
      <c r="C32" s="46">
        <v>395</v>
      </c>
      <c r="D32" s="48">
        <v>351</v>
      </c>
      <c r="F32" s="45" t="s">
        <v>135</v>
      </c>
      <c r="G32" s="46">
        <v>6</v>
      </c>
      <c r="H32" s="48">
        <v>3</v>
      </c>
      <c r="J32" s="40" t="s">
        <v>177</v>
      </c>
      <c r="K32" s="64" t="s">
        <v>178</v>
      </c>
      <c r="L32" s="44" t="s">
        <v>150</v>
      </c>
    </row>
    <row r="33" spans="2:12" x14ac:dyDescent="0.25">
      <c r="B33" s="45"/>
      <c r="C33" s="46"/>
      <c r="D33" s="48"/>
      <c r="F33" s="45"/>
      <c r="G33" s="46"/>
      <c r="H33" s="48"/>
      <c r="J33" s="40"/>
      <c r="K33" s="64"/>
      <c r="L33" s="44"/>
    </row>
    <row r="34" spans="2:12" x14ac:dyDescent="0.25">
      <c r="B34" s="42" t="s">
        <v>116</v>
      </c>
      <c r="C34" s="43">
        <v>39.799999999999997</v>
      </c>
      <c r="D34" s="44">
        <v>37.5</v>
      </c>
      <c r="F34" s="42" t="s">
        <v>136</v>
      </c>
      <c r="G34" s="43">
        <v>502</v>
      </c>
      <c r="H34" s="44">
        <v>251</v>
      </c>
      <c r="J34" s="40"/>
      <c r="K34" s="64"/>
      <c r="L34" s="44"/>
    </row>
    <row r="35" spans="2:12" ht="15.75" thickBot="1" x14ac:dyDescent="0.3">
      <c r="B35" s="42"/>
      <c r="C35" s="43"/>
      <c r="D35" s="44"/>
      <c r="F35" s="66"/>
      <c r="G35" s="67"/>
      <c r="H35" s="68"/>
      <c r="J35" s="40"/>
      <c r="K35" s="64"/>
      <c r="L35" s="44"/>
    </row>
    <row r="36" spans="2:12" x14ac:dyDescent="0.25">
      <c r="B36" s="45" t="s">
        <v>117</v>
      </c>
      <c r="C36" s="46">
        <v>14.7</v>
      </c>
      <c r="D36" s="48">
        <v>13.9</v>
      </c>
      <c r="J36" s="45" t="s">
        <v>151</v>
      </c>
      <c r="K36" s="46" t="s">
        <v>152</v>
      </c>
      <c r="L36" s="48" t="s">
        <v>152</v>
      </c>
    </row>
    <row r="37" spans="2:12" x14ac:dyDescent="0.25">
      <c r="B37" s="45"/>
      <c r="C37" s="46"/>
      <c r="D37" s="48"/>
      <c r="J37" s="45"/>
      <c r="K37" s="46"/>
      <c r="L37" s="48"/>
    </row>
    <row r="38" spans="2:12" x14ac:dyDescent="0.25">
      <c r="B38" s="42" t="s">
        <v>118</v>
      </c>
      <c r="C38" s="43">
        <v>8</v>
      </c>
      <c r="D38" s="44">
        <v>7.5</v>
      </c>
      <c r="J38" s="40" t="s">
        <v>180</v>
      </c>
      <c r="K38" s="65" t="s">
        <v>179</v>
      </c>
      <c r="L38" s="44" t="s">
        <v>153</v>
      </c>
    </row>
    <row r="39" spans="2:12" x14ac:dyDescent="0.25">
      <c r="B39" s="42"/>
      <c r="C39" s="43"/>
      <c r="D39" s="44"/>
      <c r="J39" s="40"/>
      <c r="K39" s="65"/>
      <c r="L39" s="44"/>
    </row>
    <row r="40" spans="2:12" x14ac:dyDescent="0.25">
      <c r="B40" s="45" t="s">
        <v>119</v>
      </c>
      <c r="C40" s="46">
        <v>13</v>
      </c>
      <c r="D40" s="48"/>
      <c r="J40" s="40"/>
      <c r="K40" s="65"/>
      <c r="L40" s="44"/>
    </row>
    <row r="41" spans="2:12" ht="15.75" thickBot="1" x14ac:dyDescent="0.3">
      <c r="B41" s="45"/>
      <c r="C41" s="46"/>
      <c r="D41" s="48"/>
      <c r="J41" s="40"/>
      <c r="K41" s="65"/>
      <c r="L41" s="44"/>
    </row>
    <row r="42" spans="2:12" x14ac:dyDescent="0.25">
      <c r="B42" s="99" t="s">
        <v>121</v>
      </c>
      <c r="C42" s="100"/>
      <c r="D42" s="101"/>
      <c r="I42" s="56"/>
      <c r="J42" s="45" t="s">
        <v>154</v>
      </c>
      <c r="K42" s="46" t="s">
        <v>155</v>
      </c>
      <c r="L42" s="48" t="s">
        <v>155</v>
      </c>
    </row>
    <row r="43" spans="2:12" ht="15.75" thickBot="1" x14ac:dyDescent="0.3">
      <c r="B43" s="102"/>
      <c r="C43" s="103"/>
      <c r="D43" s="104"/>
      <c r="I43" s="56"/>
      <c r="J43" s="45"/>
      <c r="K43" s="46"/>
      <c r="L43" s="48"/>
    </row>
    <row r="44" spans="2:12" x14ac:dyDescent="0.25">
      <c r="B44" s="42" t="s">
        <v>113</v>
      </c>
      <c r="C44" s="43">
        <v>42</v>
      </c>
      <c r="D44" s="44">
        <v>36</v>
      </c>
      <c r="J44" s="42" t="s">
        <v>156</v>
      </c>
      <c r="K44" s="43" t="s">
        <v>157</v>
      </c>
      <c r="L44" s="44" t="s">
        <v>157</v>
      </c>
    </row>
    <row r="45" spans="2:12" x14ac:dyDescent="0.25">
      <c r="B45" s="42"/>
      <c r="C45" s="43"/>
      <c r="D45" s="44"/>
      <c r="J45" s="42"/>
      <c r="K45" s="43"/>
      <c r="L45" s="44"/>
    </row>
    <row r="46" spans="2:12" x14ac:dyDescent="0.25">
      <c r="B46" s="45" t="s">
        <v>9</v>
      </c>
      <c r="C46" s="46">
        <v>0.5</v>
      </c>
      <c r="D46" s="48">
        <v>0.5</v>
      </c>
      <c r="J46" s="45" t="s">
        <v>158</v>
      </c>
      <c r="K46" s="46" t="s">
        <v>159</v>
      </c>
      <c r="L46" s="48" t="s">
        <v>159</v>
      </c>
    </row>
    <row r="47" spans="2:12" ht="15.75" thickBot="1" x14ac:dyDescent="0.3">
      <c r="B47" s="45"/>
      <c r="C47" s="46"/>
      <c r="D47" s="48"/>
      <c r="J47" s="34"/>
      <c r="K47" s="47"/>
      <c r="L47" s="49"/>
    </row>
    <row r="48" spans="2:12" x14ac:dyDescent="0.25">
      <c r="B48" s="42" t="s">
        <v>114</v>
      </c>
      <c r="C48" s="43">
        <v>1.6</v>
      </c>
      <c r="D48" s="44">
        <v>1.6</v>
      </c>
    </row>
    <row r="49" spans="2:10" x14ac:dyDescent="0.25">
      <c r="B49" s="42"/>
      <c r="C49" s="43"/>
      <c r="D49" s="44"/>
    </row>
    <row r="50" spans="2:10" x14ac:dyDescent="0.25">
      <c r="B50" s="45" t="s">
        <v>115</v>
      </c>
      <c r="C50" s="46">
        <v>281</v>
      </c>
      <c r="D50" s="48">
        <v>301</v>
      </c>
    </row>
    <row r="51" spans="2:10" x14ac:dyDescent="0.25">
      <c r="B51" s="45"/>
      <c r="C51" s="46"/>
      <c r="D51" s="48"/>
    </row>
    <row r="52" spans="2:10" x14ac:dyDescent="0.25">
      <c r="B52" s="42" t="s">
        <v>116</v>
      </c>
      <c r="C52" s="43">
        <v>21.2</v>
      </c>
      <c r="D52" s="44">
        <v>22</v>
      </c>
    </row>
    <row r="53" spans="2:10" x14ac:dyDescent="0.25">
      <c r="B53" s="42"/>
      <c r="C53" s="43"/>
      <c r="D53" s="44"/>
    </row>
    <row r="54" spans="2:10" x14ac:dyDescent="0.25">
      <c r="B54" s="45" t="s">
        <v>117</v>
      </c>
      <c r="C54" s="46">
        <v>17.7</v>
      </c>
      <c r="D54" s="48">
        <v>18.3</v>
      </c>
    </row>
    <row r="55" spans="2:10" x14ac:dyDescent="0.25">
      <c r="B55" s="45"/>
      <c r="C55" s="46"/>
      <c r="D55" s="48"/>
    </row>
    <row r="56" spans="2:10" x14ac:dyDescent="0.25">
      <c r="B56" s="42" t="s">
        <v>118</v>
      </c>
      <c r="C56" s="43">
        <v>5.9</v>
      </c>
      <c r="D56" s="44">
        <v>6.1</v>
      </c>
    </row>
    <row r="57" spans="2:10" ht="15.75" thickBot="1" x14ac:dyDescent="0.3">
      <c r="B57" s="66"/>
      <c r="C57" s="67"/>
      <c r="D57" s="68"/>
    </row>
    <row r="58" spans="2:10" x14ac:dyDescent="0.25">
      <c r="I58" s="56"/>
      <c r="J58" s="56"/>
    </row>
    <row r="59" spans="2:10" x14ac:dyDescent="0.25">
      <c r="I59" s="56"/>
      <c r="J59" s="56"/>
    </row>
    <row r="64" spans="2:10" x14ac:dyDescent="0.25">
      <c r="I64" s="56"/>
      <c r="J64" s="56"/>
    </row>
    <row r="65" spans="9:10" x14ac:dyDescent="0.25">
      <c r="I65" s="56"/>
      <c r="J65" s="56"/>
    </row>
    <row r="70" spans="9:10" x14ac:dyDescent="0.25">
      <c r="I70" s="63"/>
      <c r="J70" s="63"/>
    </row>
    <row r="71" spans="9:10" x14ac:dyDescent="0.25">
      <c r="I71" s="63"/>
      <c r="J71" s="63"/>
    </row>
    <row r="80" spans="9:10" x14ac:dyDescent="0.25">
      <c r="I80" s="56"/>
      <c r="J80" s="56"/>
    </row>
    <row r="81" spans="9:10" x14ac:dyDescent="0.25">
      <c r="I81" s="56"/>
      <c r="J81" s="56"/>
    </row>
    <row r="88" spans="9:10" x14ac:dyDescent="0.25">
      <c r="I88" s="56"/>
      <c r="J88" s="56"/>
    </row>
    <row r="89" spans="9:10" x14ac:dyDescent="0.25">
      <c r="I89" s="56"/>
      <c r="J89" s="56"/>
    </row>
    <row r="129" spans="2:10" ht="15.75" thickBot="1" x14ac:dyDescent="0.3"/>
    <row r="130" spans="2:10" x14ac:dyDescent="0.25">
      <c r="B130" s="57" t="s">
        <v>71</v>
      </c>
      <c r="C130" s="58"/>
      <c r="D130" s="59"/>
      <c r="I130" s="63"/>
      <c r="J130" s="63"/>
    </row>
    <row r="131" spans="2:10" ht="15.75" thickBot="1" x14ac:dyDescent="0.3">
      <c r="B131" s="60"/>
      <c r="C131" s="61"/>
      <c r="D131" s="62"/>
      <c r="I131" s="63"/>
      <c r="J131" s="63"/>
    </row>
    <row r="132" spans="2:10" x14ac:dyDescent="0.25">
      <c r="B132" s="42" t="s">
        <v>160</v>
      </c>
      <c r="C132" s="43">
        <v>14.4</v>
      </c>
      <c r="D132" s="44">
        <v>14.7</v>
      </c>
    </row>
    <row r="133" spans="2:10" x14ac:dyDescent="0.25">
      <c r="B133" s="42"/>
      <c r="C133" s="43"/>
      <c r="D133" s="44"/>
    </row>
    <row r="134" spans="2:10" x14ac:dyDescent="0.25">
      <c r="B134" s="45" t="s">
        <v>124</v>
      </c>
      <c r="C134" s="46">
        <v>191</v>
      </c>
      <c r="D134" s="48">
        <v>174</v>
      </c>
    </row>
    <row r="135" spans="2:10" x14ac:dyDescent="0.25">
      <c r="B135" s="45"/>
      <c r="C135" s="46"/>
      <c r="D135" s="48"/>
    </row>
    <row r="136" spans="2:10" x14ac:dyDescent="0.25">
      <c r="B136" s="42" t="s">
        <v>161</v>
      </c>
      <c r="C136" s="43">
        <v>13.3</v>
      </c>
      <c r="D136" s="44">
        <v>11.8</v>
      </c>
    </row>
    <row r="137" spans="2:10" x14ac:dyDescent="0.25">
      <c r="B137" s="42"/>
      <c r="C137" s="43"/>
      <c r="D137" s="44"/>
    </row>
    <row r="138" spans="2:10" x14ac:dyDescent="0.25">
      <c r="B138" s="45" t="s">
        <v>162</v>
      </c>
      <c r="C138" s="46"/>
      <c r="D138" s="48"/>
    </row>
    <row r="139" spans="2:10" x14ac:dyDescent="0.25">
      <c r="B139" s="45"/>
      <c r="C139" s="46"/>
      <c r="D139" s="48"/>
    </row>
    <row r="140" spans="2:10" x14ac:dyDescent="0.25">
      <c r="B140" s="42" t="s">
        <v>163</v>
      </c>
      <c r="C140" s="43"/>
      <c r="D140" s="44"/>
    </row>
    <row r="141" spans="2:10" ht="15.75" thickBot="1" x14ac:dyDescent="0.3">
      <c r="B141" s="42"/>
      <c r="C141" s="43"/>
      <c r="D141" s="44"/>
    </row>
    <row r="142" spans="2:10" x14ac:dyDescent="0.25">
      <c r="B142" s="50" t="s">
        <v>164</v>
      </c>
      <c r="C142" s="51"/>
      <c r="D142" s="52"/>
      <c r="I142" s="56"/>
      <c r="J142" s="56"/>
    </row>
    <row r="143" spans="2:10" ht="15.75" thickBot="1" x14ac:dyDescent="0.3">
      <c r="B143" s="53"/>
      <c r="C143" s="54"/>
      <c r="D143" s="55"/>
      <c r="I143" s="56"/>
      <c r="J143" s="56"/>
    </row>
    <row r="144" spans="2:10" x14ac:dyDescent="0.25">
      <c r="B144" s="42" t="s">
        <v>165</v>
      </c>
      <c r="C144" s="43">
        <v>78.55</v>
      </c>
      <c r="D144" s="44">
        <v>67.069999999999993</v>
      </c>
    </row>
    <row r="145" spans="2:4" x14ac:dyDescent="0.25">
      <c r="B145" s="42"/>
      <c r="C145" s="43"/>
      <c r="D145" s="44"/>
    </row>
    <row r="146" spans="2:4" x14ac:dyDescent="0.25">
      <c r="B146" s="45" t="s">
        <v>166</v>
      </c>
      <c r="C146" s="46">
        <v>79.27</v>
      </c>
      <c r="D146" s="48">
        <v>67.11</v>
      </c>
    </row>
    <row r="147" spans="2:4" x14ac:dyDescent="0.25">
      <c r="B147" s="45"/>
      <c r="C147" s="46"/>
      <c r="D147" s="48"/>
    </row>
    <row r="148" spans="2:4" x14ac:dyDescent="0.25">
      <c r="B148" s="42" t="s">
        <v>167</v>
      </c>
      <c r="C148" s="43">
        <v>79.34</v>
      </c>
      <c r="D148" s="44">
        <v>69.239999999999995</v>
      </c>
    </row>
    <row r="149" spans="2:4" x14ac:dyDescent="0.25">
      <c r="B149" s="42"/>
      <c r="C149" s="43"/>
      <c r="D149" s="44"/>
    </row>
    <row r="150" spans="2:4" x14ac:dyDescent="0.25">
      <c r="B150" s="45" t="s">
        <v>168</v>
      </c>
      <c r="C150" s="46">
        <v>79.69</v>
      </c>
      <c r="D150" s="48">
        <v>66.45</v>
      </c>
    </row>
    <row r="151" spans="2:4" x14ac:dyDescent="0.25">
      <c r="B151" s="45"/>
      <c r="C151" s="46"/>
      <c r="D151" s="48"/>
    </row>
    <row r="152" spans="2:4" x14ac:dyDescent="0.25">
      <c r="B152" s="42" t="s">
        <v>169</v>
      </c>
      <c r="C152" s="43">
        <v>78.72</v>
      </c>
      <c r="D152" s="44">
        <v>69.349999999999994</v>
      </c>
    </row>
    <row r="153" spans="2:4" x14ac:dyDescent="0.25">
      <c r="B153" s="42"/>
      <c r="C153" s="43"/>
      <c r="D153" s="44"/>
    </row>
    <row r="154" spans="2:4" x14ac:dyDescent="0.25">
      <c r="B154" s="45" t="s">
        <v>170</v>
      </c>
      <c r="C154" s="46">
        <v>81.45</v>
      </c>
      <c r="D154" s="48">
        <v>69.53</v>
      </c>
    </row>
    <row r="155" spans="2:4" ht="15.75" thickBot="1" x14ac:dyDescent="0.3">
      <c r="B155" s="34"/>
      <c r="C155" s="47"/>
      <c r="D155" s="49"/>
    </row>
  </sheetData>
  <mergeCells count="211">
    <mergeCell ref="J2:L3"/>
    <mergeCell ref="J4:J5"/>
    <mergeCell ref="G4:G5"/>
    <mergeCell ref="H4:H5"/>
    <mergeCell ref="B6:D7"/>
    <mergeCell ref="I6:I7"/>
    <mergeCell ref="B8:B9"/>
    <mergeCell ref="C8:C9"/>
    <mergeCell ref="D8:D9"/>
    <mergeCell ref="B2:D3"/>
    <mergeCell ref="I2:I3"/>
    <mergeCell ref="B4:B5"/>
    <mergeCell ref="C4:C5"/>
    <mergeCell ref="D4:D5"/>
    <mergeCell ref="B14:B15"/>
    <mergeCell ref="C14:C15"/>
    <mergeCell ref="D14:D15"/>
    <mergeCell ref="B16:B17"/>
    <mergeCell ref="C16:C17"/>
    <mergeCell ref="D16:D17"/>
    <mergeCell ref="B10:B11"/>
    <mergeCell ref="C10:C11"/>
    <mergeCell ref="D10:D11"/>
    <mergeCell ref="B12:B13"/>
    <mergeCell ref="C12:C13"/>
    <mergeCell ref="D12:D13"/>
    <mergeCell ref="B22:B23"/>
    <mergeCell ref="C22:C23"/>
    <mergeCell ref="D22:D23"/>
    <mergeCell ref="B24:D25"/>
    <mergeCell ref="I24:I25"/>
    <mergeCell ref="B18:B19"/>
    <mergeCell ref="C18:C19"/>
    <mergeCell ref="D18:D19"/>
    <mergeCell ref="B20:B21"/>
    <mergeCell ref="C20:C21"/>
    <mergeCell ref="D20:D21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38:B39"/>
    <mergeCell ref="C38:C39"/>
    <mergeCell ref="D38:D39"/>
    <mergeCell ref="B40:B41"/>
    <mergeCell ref="C40:C41"/>
    <mergeCell ref="D40:D41"/>
    <mergeCell ref="B34:B35"/>
    <mergeCell ref="C34:C35"/>
    <mergeCell ref="D34:D35"/>
    <mergeCell ref="B36:B37"/>
    <mergeCell ref="C36:C37"/>
    <mergeCell ref="D36:D37"/>
    <mergeCell ref="F6:H7"/>
    <mergeCell ref="I58:I59"/>
    <mergeCell ref="J58:J59"/>
    <mergeCell ref="F8:F9"/>
    <mergeCell ref="G8:G9"/>
    <mergeCell ref="H8:H9"/>
    <mergeCell ref="B54:B55"/>
    <mergeCell ref="C54:C55"/>
    <mergeCell ref="D54:D55"/>
    <mergeCell ref="B56:B57"/>
    <mergeCell ref="C56:C57"/>
    <mergeCell ref="D56:D57"/>
    <mergeCell ref="B50:B51"/>
    <mergeCell ref="C50:C51"/>
    <mergeCell ref="D50:D51"/>
    <mergeCell ref="B52:B53"/>
    <mergeCell ref="C52:C53"/>
    <mergeCell ref="D52:D53"/>
    <mergeCell ref="B46:B47"/>
    <mergeCell ref="C46:C47"/>
    <mergeCell ref="D46:D47"/>
    <mergeCell ref="B48:B49"/>
    <mergeCell ref="C48:C49"/>
    <mergeCell ref="D48:D49"/>
    <mergeCell ref="H14:H15"/>
    <mergeCell ref="F16:F17"/>
    <mergeCell ref="G16:G17"/>
    <mergeCell ref="H16:H17"/>
    <mergeCell ref="F10:F11"/>
    <mergeCell ref="G10:G11"/>
    <mergeCell ref="H10:H11"/>
    <mergeCell ref="F12:H13"/>
    <mergeCell ref="I64:I65"/>
    <mergeCell ref="I42:I43"/>
    <mergeCell ref="K28:K31"/>
    <mergeCell ref="L28:L31"/>
    <mergeCell ref="K8:K11"/>
    <mergeCell ref="L8:L11"/>
    <mergeCell ref="K12:K15"/>
    <mergeCell ref="L12:L15"/>
    <mergeCell ref="K16:K19"/>
    <mergeCell ref="L16:L19"/>
    <mergeCell ref="F34:F35"/>
    <mergeCell ref="G34:G35"/>
    <mergeCell ref="H34:H35"/>
    <mergeCell ref="J28:J31"/>
    <mergeCell ref="F30:F31"/>
    <mergeCell ref="G30:G31"/>
    <mergeCell ref="H30:H31"/>
    <mergeCell ref="F32:F33"/>
    <mergeCell ref="G32:G33"/>
    <mergeCell ref="H32:H33"/>
    <mergeCell ref="F26:F27"/>
    <mergeCell ref="G26:G27"/>
    <mergeCell ref="H26:H27"/>
    <mergeCell ref="F28:H29"/>
    <mergeCell ref="F22:F23"/>
    <mergeCell ref="G22:G23"/>
    <mergeCell ref="K32:K35"/>
    <mergeCell ref="L32:L35"/>
    <mergeCell ref="J36:J37"/>
    <mergeCell ref="K36:K37"/>
    <mergeCell ref="L36:L37"/>
    <mergeCell ref="K38:K41"/>
    <mergeCell ref="L38:L41"/>
    <mergeCell ref="J32:J35"/>
    <mergeCell ref="J38:J41"/>
    <mergeCell ref="J46:J47"/>
    <mergeCell ref="K46:K47"/>
    <mergeCell ref="L46:L47"/>
    <mergeCell ref="B130:D131"/>
    <mergeCell ref="I130:I131"/>
    <mergeCell ref="J130:J131"/>
    <mergeCell ref="J42:J43"/>
    <mergeCell ref="K42:K43"/>
    <mergeCell ref="L42:L43"/>
    <mergeCell ref="J44:J45"/>
    <mergeCell ref="K44:K45"/>
    <mergeCell ref="L44:L45"/>
    <mergeCell ref="I88:I89"/>
    <mergeCell ref="J88:J89"/>
    <mergeCell ref="I80:I81"/>
    <mergeCell ref="J80:J81"/>
    <mergeCell ref="I70:I71"/>
    <mergeCell ref="J70:J71"/>
    <mergeCell ref="J64:J65"/>
    <mergeCell ref="B42:D43"/>
    <mergeCell ref="B44:B45"/>
    <mergeCell ref="C44:C45"/>
    <mergeCell ref="D44:D45"/>
    <mergeCell ref="I142:I143"/>
    <mergeCell ref="J142:J143"/>
    <mergeCell ref="B136:B137"/>
    <mergeCell ref="C136:C137"/>
    <mergeCell ref="D136:D137"/>
    <mergeCell ref="B138:B139"/>
    <mergeCell ref="C138:C139"/>
    <mergeCell ref="D138:D139"/>
    <mergeCell ref="B132:B133"/>
    <mergeCell ref="C132:C133"/>
    <mergeCell ref="D132:D133"/>
    <mergeCell ref="B134:B135"/>
    <mergeCell ref="C134:C135"/>
    <mergeCell ref="D134:D135"/>
    <mergeCell ref="B144:B145"/>
    <mergeCell ref="C144:C145"/>
    <mergeCell ref="D144:D145"/>
    <mergeCell ref="B146:B147"/>
    <mergeCell ref="C146:C147"/>
    <mergeCell ref="D146:D147"/>
    <mergeCell ref="B140:B141"/>
    <mergeCell ref="C140:C141"/>
    <mergeCell ref="D140:D141"/>
    <mergeCell ref="B142:D143"/>
    <mergeCell ref="B152:B153"/>
    <mergeCell ref="C152:C153"/>
    <mergeCell ref="D152:D153"/>
    <mergeCell ref="B154:B155"/>
    <mergeCell ref="C154:C155"/>
    <mergeCell ref="D154:D155"/>
    <mergeCell ref="B148:B149"/>
    <mergeCell ref="C148:C149"/>
    <mergeCell ref="D148:D149"/>
    <mergeCell ref="B150:B151"/>
    <mergeCell ref="C150:C151"/>
    <mergeCell ref="D150:D151"/>
    <mergeCell ref="F2:H3"/>
    <mergeCell ref="F4:F5"/>
    <mergeCell ref="L4:L5"/>
    <mergeCell ref="K4:K5"/>
    <mergeCell ref="J8:J11"/>
    <mergeCell ref="J12:J15"/>
    <mergeCell ref="J16:J19"/>
    <mergeCell ref="J20:J23"/>
    <mergeCell ref="J24:J27"/>
    <mergeCell ref="K20:K23"/>
    <mergeCell ref="L20:L23"/>
    <mergeCell ref="K24:K27"/>
    <mergeCell ref="L24:L27"/>
    <mergeCell ref="J6:L7"/>
    <mergeCell ref="H22:H23"/>
    <mergeCell ref="F24:F25"/>
    <mergeCell ref="G24:G25"/>
    <mergeCell ref="H24:H25"/>
    <mergeCell ref="F18:H19"/>
    <mergeCell ref="F20:F21"/>
    <mergeCell ref="G20:G21"/>
    <mergeCell ref="H20:H21"/>
    <mergeCell ref="F14:F15"/>
    <mergeCell ref="G14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A4" workbookViewId="0">
      <selection activeCell="H24" sqref="H24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124" t="s">
        <v>0</v>
      </c>
      <c r="C1" s="124"/>
    </row>
    <row r="2" spans="2:9" x14ac:dyDescent="0.25">
      <c r="B2" s="6" t="s">
        <v>1</v>
      </c>
      <c r="C2" s="6">
        <v>6.71</v>
      </c>
    </row>
    <row r="6" spans="2:9" x14ac:dyDescent="0.25">
      <c r="B6" s="121" t="s">
        <v>2</v>
      </c>
      <c r="C6" s="121"/>
      <c r="D6" s="121" t="s">
        <v>3</v>
      </c>
      <c r="E6" s="121"/>
      <c r="F6" s="121" t="s">
        <v>4</v>
      </c>
      <c r="G6" s="122"/>
      <c r="H6" s="121" t="s">
        <v>5</v>
      </c>
      <c r="I6" s="121"/>
    </row>
    <row r="7" spans="2:9" x14ac:dyDescent="0.25">
      <c r="B7" s="1" t="s">
        <v>8</v>
      </c>
      <c r="C7" s="1">
        <v>7.9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191</v>
      </c>
    </row>
    <row r="9" spans="2:9" x14ac:dyDescent="0.25">
      <c r="B9" s="1" t="s">
        <v>10</v>
      </c>
      <c r="C9" s="1">
        <v>37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14.4</v>
      </c>
    </row>
    <row r="10" spans="2:9" x14ac:dyDescent="0.25">
      <c r="B10" s="1" t="s">
        <v>11</v>
      </c>
      <c r="C10" s="1">
        <v>2567</v>
      </c>
      <c r="D10" s="2" t="s">
        <v>34</v>
      </c>
      <c r="E10" s="2">
        <v>103.45</v>
      </c>
      <c r="F10" s="2" t="s">
        <v>35</v>
      </c>
      <c r="G10" s="2">
        <f>E10</f>
        <v>103.45</v>
      </c>
      <c r="H10" s="1" t="s">
        <v>20</v>
      </c>
      <c r="I10" s="1">
        <v>387287</v>
      </c>
    </row>
    <row r="11" spans="2:9" x14ac:dyDescent="0.25">
      <c r="B11" s="1" t="s">
        <v>12</v>
      </c>
      <c r="C11" s="1">
        <v>142</v>
      </c>
      <c r="D11" s="3" t="s">
        <v>10</v>
      </c>
      <c r="E11" s="3">
        <f>C9+5</f>
        <v>42</v>
      </c>
      <c r="F11" s="3" t="s">
        <v>10</v>
      </c>
      <c r="G11" s="5">
        <f>C9+5</f>
        <v>42</v>
      </c>
      <c r="H11" s="1" t="s">
        <v>21</v>
      </c>
      <c r="I11" s="1">
        <f>I14-I13</f>
        <v>225730.48500000002</v>
      </c>
    </row>
    <row r="12" spans="2:9" x14ac:dyDescent="0.25">
      <c r="B12" s="3" t="s">
        <v>13</v>
      </c>
      <c r="C12" s="3">
        <f>2*C10/(C11*(1+C8))</f>
        <v>26.781429316640583</v>
      </c>
      <c r="D12" s="3" t="s">
        <v>11</v>
      </c>
      <c r="E12" s="3">
        <f>E9*C10*C14/E10</f>
        <v>395.49378081458855</v>
      </c>
      <c r="F12" s="3" t="s">
        <v>11</v>
      </c>
      <c r="G12" s="5">
        <f>G9*C10*C11/G10</f>
        <v>281.88612856452391</v>
      </c>
      <c r="H12" s="1" t="s">
        <v>22</v>
      </c>
      <c r="I12" s="1">
        <v>0.42699999999999999</v>
      </c>
    </row>
    <row r="13" spans="2:9" x14ac:dyDescent="0.25">
      <c r="B13" s="3" t="s">
        <v>14</v>
      </c>
      <c r="C13" s="3">
        <f>C8*C12</f>
        <v>9.3735002608242031</v>
      </c>
      <c r="D13" s="3" t="s">
        <v>12</v>
      </c>
      <c r="E13" s="3">
        <f>(E7*E12)^(1/2)</f>
        <v>39.774050878158668</v>
      </c>
      <c r="F13" s="3" t="s">
        <v>12</v>
      </c>
      <c r="G13" s="3">
        <f>(G7*G12)^(1/2)</f>
        <v>21.23717979636746</v>
      </c>
      <c r="H13" s="1" t="s">
        <v>23</v>
      </c>
      <c r="I13" s="1">
        <f>I14*I12</f>
        <v>168214.51499999998</v>
      </c>
    </row>
    <row r="14" spans="2:9" x14ac:dyDescent="0.25">
      <c r="B14" s="3" t="s">
        <v>15</v>
      </c>
      <c r="C14" s="3">
        <f>2/3*C12*(1+C8-(C8/(1-C8)))</f>
        <v>14.489439963618368</v>
      </c>
      <c r="D14" s="3" t="s">
        <v>13</v>
      </c>
      <c r="E14" s="3">
        <f>2*E12/(E13*(1+E8))</f>
        <v>14.731129954873579</v>
      </c>
      <c r="F14" s="3" t="s">
        <v>13</v>
      </c>
      <c r="G14" s="3">
        <f>2*G12/(G13*(1+G8))</f>
        <v>17.697649830306215</v>
      </c>
      <c r="H14" s="1" t="s">
        <v>32</v>
      </c>
      <c r="I14" s="1">
        <v>393945</v>
      </c>
    </row>
    <row r="15" spans="2:9" x14ac:dyDescent="0.25">
      <c r="B15" s="3" t="s">
        <v>16</v>
      </c>
      <c r="C15" s="3">
        <f>C11/6*((1+2*C8)/(1+C8))</f>
        <v>29.802469135802465</v>
      </c>
      <c r="D15" s="3" t="s">
        <v>14</v>
      </c>
      <c r="E15" s="3">
        <f>E8*E14</f>
        <v>5.1558954842057521</v>
      </c>
      <c r="F15" s="3" t="s">
        <v>14</v>
      </c>
      <c r="G15" s="3">
        <f>G8*G14</f>
        <v>8.8488249151531075</v>
      </c>
      <c r="H15" s="121" t="s">
        <v>6</v>
      </c>
      <c r="I15" s="121"/>
    </row>
    <row r="16" spans="2:9" x14ac:dyDescent="0.25">
      <c r="D16" s="3" t="s">
        <v>15</v>
      </c>
      <c r="E16" s="3">
        <f>2/3*E14*(1+E8-(E8/(1-E8)))</f>
        <v>7.9699190268675011</v>
      </c>
      <c r="F16" s="3" t="s">
        <v>15</v>
      </c>
      <c r="G16" s="3">
        <f>2/3*G14*(1+G8-(G8/(1-G8)))</f>
        <v>5.8992166101020711</v>
      </c>
      <c r="H16" s="3" t="s">
        <v>24</v>
      </c>
      <c r="I16" s="3">
        <f>I13/C2</f>
        <v>25069.227272727272</v>
      </c>
    </row>
    <row r="17" spans="2:9" x14ac:dyDescent="0.25">
      <c r="B17" s="122" t="s">
        <v>7</v>
      </c>
      <c r="C17" s="123"/>
      <c r="D17" s="3" t="s">
        <v>16</v>
      </c>
      <c r="E17" s="3">
        <f>E13/6*((1+2*E8)/(1+E8))</f>
        <v>8.3476403077616954</v>
      </c>
      <c r="F17" s="3" t="s">
        <v>16</v>
      </c>
      <c r="G17" s="3">
        <f>G13/6*((1+2*G8)/(1+G8))</f>
        <v>4.7193732880816572</v>
      </c>
      <c r="H17" s="3" t="s">
        <v>25</v>
      </c>
      <c r="I17" s="3">
        <f>I16/7.481</f>
        <v>3351.052970555711</v>
      </c>
    </row>
    <row r="18" spans="2:9" x14ac:dyDescent="0.25">
      <c r="B18" s="1" t="s">
        <v>26</v>
      </c>
      <c r="C18" s="1">
        <v>64426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105</v>
      </c>
      <c r="D20">
        <f>C20/12</f>
        <v>8.75</v>
      </c>
    </row>
    <row r="21" spans="2:9" x14ac:dyDescent="0.25">
      <c r="B21" s="6" t="s">
        <v>29</v>
      </c>
      <c r="C21" s="6">
        <v>170</v>
      </c>
      <c r="D21">
        <f>C21/12</f>
        <v>14.166666666666666</v>
      </c>
    </row>
    <row r="22" spans="2:9" x14ac:dyDescent="0.25">
      <c r="B22" s="3" t="s">
        <v>30</v>
      </c>
      <c r="C22" s="3">
        <f>1.1*C20</f>
        <v>115.50000000000001</v>
      </c>
      <c r="D22">
        <f>C22/12</f>
        <v>9.6250000000000018</v>
      </c>
    </row>
    <row r="23" spans="2:9" x14ac:dyDescent="0.25">
      <c r="B23" s="3" t="s">
        <v>31</v>
      </c>
      <c r="C23" s="3">
        <f>1.1*(0.7*C22+C21)</f>
        <v>275.93500000000006</v>
      </c>
      <c r="D23">
        <f>C23/12</f>
        <v>22.994583333333338</v>
      </c>
    </row>
    <row r="32" spans="2:9" x14ac:dyDescent="0.25">
      <c r="D32">
        <f>0.258972298051553*235320</f>
        <v>60941.361177491446</v>
      </c>
    </row>
    <row r="33" spans="1:22" x14ac:dyDescent="0.25">
      <c r="D33">
        <f>0.417630430825357*370555</f>
        <v>154755.04429449016</v>
      </c>
    </row>
    <row r="37" spans="1:22" x14ac:dyDescent="0.25">
      <c r="A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2" x14ac:dyDescent="0.25">
      <c r="B38" s="23" t="s">
        <v>101</v>
      </c>
      <c r="C38">
        <v>37</v>
      </c>
      <c r="D38">
        <v>71</v>
      </c>
      <c r="E38">
        <v>26.781399999999998</v>
      </c>
      <c r="F38">
        <v>9.3734999999999999</v>
      </c>
      <c r="G38">
        <v>29.802499999999998</v>
      </c>
      <c r="H38">
        <v>42</v>
      </c>
      <c r="I38">
        <v>14.731129999999999</v>
      </c>
      <c r="J38">
        <v>5.1558950000000001</v>
      </c>
      <c r="K38">
        <v>8.3476400000000002</v>
      </c>
      <c r="L38" s="24" t="s">
        <v>102</v>
      </c>
      <c r="M38" s="24" t="s">
        <v>103</v>
      </c>
      <c r="N38" s="24">
        <v>7.1687500000000011</v>
      </c>
      <c r="O38" s="24" t="s">
        <v>104</v>
      </c>
      <c r="P38" s="24">
        <v>22.88617</v>
      </c>
      <c r="Q38" s="24">
        <v>60.499999999999993</v>
      </c>
      <c r="R38" s="24">
        <v>117.00000000000001</v>
      </c>
      <c r="S38" s="24">
        <v>191</v>
      </c>
      <c r="T38" s="24">
        <v>14.400000000000002</v>
      </c>
      <c r="U38" s="24">
        <v>8.75</v>
      </c>
      <c r="V38" s="24">
        <v>22.994583333333335</v>
      </c>
    </row>
  </sheetData>
  <mergeCells count="7">
    <mergeCell ref="H6:I6"/>
    <mergeCell ref="H15:I15"/>
    <mergeCell ref="B17:C17"/>
    <mergeCell ref="B1:C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912-A53C-487A-A65A-E3576BE06716}">
  <dimension ref="B2:I11"/>
  <sheetViews>
    <sheetView workbookViewId="0">
      <selection activeCell="C6" sqref="C6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121" t="s">
        <v>36</v>
      </c>
      <c r="C2" s="121"/>
      <c r="F2" s="121" t="s">
        <v>41</v>
      </c>
      <c r="G2" s="121"/>
    </row>
    <row r="3" spans="2:9" x14ac:dyDescent="0.25">
      <c r="B3" s="1" t="s">
        <v>37</v>
      </c>
      <c r="C3" s="1">
        <v>0.1305</v>
      </c>
      <c r="F3" s="3" t="s">
        <v>42</v>
      </c>
      <c r="G3" s="3">
        <f>C5*C3*C7</f>
        <v>3.145478873239437</v>
      </c>
    </row>
    <row r="4" spans="2:9" x14ac:dyDescent="0.25">
      <c r="B4" s="1" t="s">
        <v>9</v>
      </c>
      <c r="C4" s="1">
        <f>NonStop!C8</f>
        <v>0.35</v>
      </c>
      <c r="F4" s="3" t="s">
        <v>43</v>
      </c>
      <c r="G4" s="3">
        <f>(C9-C8)*C5</f>
        <v>16.068857589984351</v>
      </c>
    </row>
    <row r="5" spans="2:9" x14ac:dyDescent="0.25">
      <c r="B5" s="3" t="s">
        <v>13</v>
      </c>
      <c r="C5" s="3">
        <f>NonStop!C12</f>
        <v>26.781429316640583</v>
      </c>
      <c r="F5" s="8" t="s">
        <v>44</v>
      </c>
      <c r="G5" s="8">
        <f>G4*G3</f>
        <v>50.54425206638895</v>
      </c>
    </row>
    <row r="6" spans="2:9" x14ac:dyDescent="0.25">
      <c r="B6" s="6" t="s">
        <v>38</v>
      </c>
      <c r="C6" s="6">
        <f>NonStop!I17</f>
        <v>3351.052970555711</v>
      </c>
      <c r="D6">
        <f>C6/2</f>
        <v>1675.5264852778555</v>
      </c>
      <c r="F6" s="3" t="s">
        <v>50</v>
      </c>
      <c r="G6" s="3">
        <f>I6*C3*C7</f>
        <v>1.4032823001388612</v>
      </c>
      <c r="H6" t="s">
        <v>52</v>
      </c>
      <c r="I6">
        <f>C5-C5*((1-C4)/(0.5*NonStop!C11))*G9</f>
        <v>11.947912304290007</v>
      </c>
    </row>
    <row r="7" spans="2:9" x14ac:dyDescent="0.25">
      <c r="B7" s="2" t="s">
        <v>49</v>
      </c>
      <c r="C7" s="2">
        <v>0.9</v>
      </c>
      <c r="F7" s="3" t="s">
        <v>51</v>
      </c>
      <c r="G7" s="3">
        <f>(C9-C8)*I6</f>
        <v>7.1687473825740051</v>
      </c>
    </row>
    <row r="8" spans="2:9" x14ac:dyDescent="0.25">
      <c r="B8" s="2" t="s">
        <v>39</v>
      </c>
      <c r="C8" s="2">
        <v>0.2</v>
      </c>
      <c r="F8" s="8" t="s">
        <v>45</v>
      </c>
      <c r="G8" s="8">
        <f>G6*G7</f>
        <v>10.059776316132892</v>
      </c>
    </row>
    <row r="9" spans="2:9" x14ac:dyDescent="0.25">
      <c r="B9" s="2" t="s">
        <v>40</v>
      </c>
      <c r="C9" s="2">
        <v>0.8</v>
      </c>
      <c r="F9" s="7" t="s">
        <v>46</v>
      </c>
      <c r="G9" s="7">
        <v>60.5</v>
      </c>
      <c r="H9" t="s">
        <v>53</v>
      </c>
      <c r="I9">
        <f>NonStop!C11/2</f>
        <v>71</v>
      </c>
    </row>
    <row r="10" spans="2:9" x14ac:dyDescent="0.25">
      <c r="F10" s="6" t="s">
        <v>47</v>
      </c>
      <c r="G10" s="6">
        <f>1/3*G9*(G5+G8+SQRT(G5*G8))</f>
        <v>1676.9222984103105</v>
      </c>
    </row>
    <row r="11" spans="2:9" x14ac:dyDescent="0.25">
      <c r="F11" s="3" t="s">
        <v>48</v>
      </c>
      <c r="G11" s="3">
        <f>(G9*(G5+2*SQRT(G5*G8)+3*G8))/(4*(G5+SQRT(G5*G8)+G8))</f>
        <v>22.886147457689322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4BF3-F0E2-426F-B85D-934AF7746706}">
  <dimension ref="A1:Z28"/>
  <sheetViews>
    <sheetView topLeftCell="I1" workbookViewId="0">
      <selection activeCell="L3" sqref="L3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</cols>
  <sheetData>
    <row r="1" spans="1:26" x14ac:dyDescent="0.25">
      <c r="A1" s="16" t="s">
        <v>75</v>
      </c>
      <c r="B1" s="1">
        <f>NonStop!I14</f>
        <v>393945</v>
      </c>
      <c r="C1" s="1"/>
    </row>
    <row r="2" spans="1:26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21" t="s">
        <v>83</v>
      </c>
      <c r="O2" s="22" t="s">
        <v>85</v>
      </c>
      <c r="S2" s="22" t="s">
        <v>91</v>
      </c>
      <c r="V2" t="s">
        <v>94</v>
      </c>
      <c r="W2" t="s">
        <v>95</v>
      </c>
      <c r="Z2" t="s">
        <v>99</v>
      </c>
    </row>
    <row r="3" spans="1:26" x14ac:dyDescent="0.25">
      <c r="A3" s="16" t="s">
        <v>77</v>
      </c>
      <c r="B3" s="1">
        <v>8.1158846543399107E-3</v>
      </c>
      <c r="C3" s="1">
        <f>B3*$B$1^1.195</f>
        <v>39434.959521822035</v>
      </c>
      <c r="F3" s="11" t="s">
        <v>60</v>
      </c>
      <c r="G3" s="18"/>
      <c r="H3" s="18"/>
      <c r="I3" s="18"/>
      <c r="L3">
        <f>C12/12</f>
        <v>500</v>
      </c>
      <c r="M3" t="s">
        <v>84</v>
      </c>
      <c r="O3">
        <f>B1/8</f>
        <v>49243.125</v>
      </c>
      <c r="P3" t="s">
        <v>86</v>
      </c>
      <c r="S3" t="s">
        <v>92</v>
      </c>
      <c r="T3">
        <f>0.05*225</f>
        <v>11.25</v>
      </c>
      <c r="U3">
        <v>12</v>
      </c>
      <c r="V3">
        <f>T3/20</f>
        <v>0.5625</v>
      </c>
      <c r="W3">
        <f>T3*0.3</f>
        <v>3.375</v>
      </c>
      <c r="Z3">
        <f>24.5*94</f>
        <v>2303</v>
      </c>
    </row>
    <row r="4" spans="1:26" x14ac:dyDescent="0.25">
      <c r="A4" s="16" t="s">
        <v>71</v>
      </c>
      <c r="B4" s="1">
        <v>1836.3415412886</v>
      </c>
      <c r="C4" s="1">
        <f>B4*$B$1^0.235</f>
        <v>37921.09095761479</v>
      </c>
      <c r="F4" s="12" t="s">
        <v>61</v>
      </c>
      <c r="G4" s="19"/>
      <c r="H4" s="19"/>
      <c r="I4" s="19"/>
      <c r="O4" t="s">
        <v>105</v>
      </c>
      <c r="P4" t="s">
        <v>87</v>
      </c>
      <c r="S4" t="s">
        <v>93</v>
      </c>
      <c r="T4">
        <f>225-T3-T5</f>
        <v>171</v>
      </c>
      <c r="V4">
        <f>T4/50</f>
        <v>3.42</v>
      </c>
      <c r="W4">
        <f>T4*0.075</f>
        <v>12.824999999999999</v>
      </c>
      <c r="Z4">
        <f>(42-26)*(45.5+94)/2</f>
        <v>1116</v>
      </c>
    </row>
    <row r="5" spans="1:26" x14ac:dyDescent="0.25">
      <c r="A5" s="16" t="s">
        <v>72</v>
      </c>
      <c r="B5" s="1">
        <v>0.04</v>
      </c>
      <c r="C5" s="1">
        <f>B5*$B$1</f>
        <v>15757.800000000001</v>
      </c>
      <c r="F5" s="13" t="s">
        <v>62</v>
      </c>
      <c r="G5" s="19"/>
      <c r="H5" s="18"/>
      <c r="I5" s="19"/>
      <c r="O5">
        <f>0.15*B1/2</f>
        <v>29545.875</v>
      </c>
      <c r="P5" t="s">
        <v>86</v>
      </c>
      <c r="S5" t="s">
        <v>107</v>
      </c>
      <c r="T5">
        <f>0.19*225</f>
        <v>42.75</v>
      </c>
      <c r="U5">
        <v>42</v>
      </c>
      <c r="V5">
        <f>T5/35</f>
        <v>1.2214285714285715</v>
      </c>
      <c r="W5">
        <f>0.2*T5</f>
        <v>8.5500000000000007</v>
      </c>
      <c r="Z5">
        <f>SUM(Z3:Z4)/12/12*42.3/12</f>
        <v>83.694270833333334</v>
      </c>
    </row>
    <row r="6" spans="1:26" x14ac:dyDescent="0.25">
      <c r="A6" s="16" t="s">
        <v>73</v>
      </c>
      <c r="B6" s="1">
        <v>1.81532235848928E-2</v>
      </c>
      <c r="C6" s="1">
        <f t="shared" ref="C6:C10" si="0">B6*$B$1</f>
        <v>7151.3716651505947</v>
      </c>
      <c r="F6" s="17" t="s">
        <v>63</v>
      </c>
      <c r="G6" s="18"/>
      <c r="H6" s="19"/>
      <c r="I6" s="18"/>
      <c r="O6" t="s">
        <v>106</v>
      </c>
      <c r="P6" t="s">
        <v>90</v>
      </c>
      <c r="V6">
        <f>SUM(V3:V5)</f>
        <v>5.2039285714285715</v>
      </c>
      <c r="W6">
        <f>SUM(W3:W5)</f>
        <v>24.75</v>
      </c>
      <c r="Z6">
        <f>L3/Z5</f>
        <v>5.9741245729434382</v>
      </c>
    </row>
    <row r="7" spans="1:26" x14ac:dyDescent="0.25">
      <c r="A7" s="16" t="s">
        <v>54</v>
      </c>
      <c r="B7" s="1">
        <v>1.5961239820201801E-3</v>
      </c>
      <c r="C7" s="1">
        <f>B7*$B$1^1.195</f>
        <v>7755.5420392916558</v>
      </c>
      <c r="Z7">
        <f>6*Z5</f>
        <v>502.16562499999998</v>
      </c>
    </row>
    <row r="8" spans="1:26" x14ac:dyDescent="0.25">
      <c r="A8" s="16" t="s">
        <v>55</v>
      </c>
      <c r="B8" s="1">
        <v>9.1364555764723396E-2</v>
      </c>
      <c r="C8" s="1">
        <f t="shared" si="0"/>
        <v>35992.609920733958</v>
      </c>
      <c r="S8" t="s">
        <v>96</v>
      </c>
      <c r="T8">
        <f>(T4+T3)*2</f>
        <v>364.5</v>
      </c>
    </row>
    <row r="9" spans="1:26" x14ac:dyDescent="0.25">
      <c r="A9" s="16" t="s">
        <v>56</v>
      </c>
      <c r="B9" s="1">
        <v>3.5000000000000003E-2</v>
      </c>
      <c r="C9" s="1">
        <f>B9*$B$1+D9</f>
        <v>46828.074999999997</v>
      </c>
      <c r="D9">
        <v>33040</v>
      </c>
      <c r="S9" t="s">
        <v>97</v>
      </c>
      <c r="T9">
        <v>110</v>
      </c>
      <c r="U9">
        <f>T9*2</f>
        <v>220</v>
      </c>
    </row>
    <row r="10" spans="1:26" x14ac:dyDescent="0.25">
      <c r="A10" s="16" t="s">
        <v>38</v>
      </c>
      <c r="B10" s="1">
        <f>NonStop!I12*1.0275</f>
        <v>0.43874250000000004</v>
      </c>
      <c r="C10" s="1">
        <f t="shared" si="0"/>
        <v>172840.4141625</v>
      </c>
      <c r="S10" t="s">
        <v>98</v>
      </c>
      <c r="T10">
        <v>45</v>
      </c>
      <c r="U10">
        <f>(T8-U9)/T10</f>
        <v>3.2111111111111112</v>
      </c>
    </row>
    <row r="11" spans="1:26" x14ac:dyDescent="0.25">
      <c r="A11" s="16" t="s">
        <v>57</v>
      </c>
      <c r="B11" s="1">
        <v>54375</v>
      </c>
      <c r="C11" s="1">
        <f>B11</f>
        <v>54375</v>
      </c>
    </row>
    <row r="12" spans="1:26" x14ac:dyDescent="0.25">
      <c r="A12" s="16" t="s">
        <v>58</v>
      </c>
      <c r="B12" s="1"/>
      <c r="C12" s="1">
        <v>6000</v>
      </c>
      <c r="E12">
        <f>SUM(C3:C12)</f>
        <v>424056.86326711305</v>
      </c>
    </row>
    <row r="14" spans="1:26" x14ac:dyDescent="0.25">
      <c r="A14" s="8" t="s">
        <v>59</v>
      </c>
      <c r="B14" s="127" t="s">
        <v>60</v>
      </c>
      <c r="C14" s="127"/>
      <c r="D14" s="127"/>
      <c r="E14" s="126" t="s">
        <v>61</v>
      </c>
      <c r="F14" s="126"/>
      <c r="G14" s="126"/>
      <c r="H14" s="124" t="s">
        <v>62</v>
      </c>
      <c r="I14" s="124"/>
      <c r="J14" s="124"/>
      <c r="K14" s="125" t="s">
        <v>63</v>
      </c>
      <c r="L14" s="125"/>
      <c r="M14" s="125"/>
      <c r="N14" s="3"/>
      <c r="O14" s="3"/>
    </row>
    <row r="15" spans="1:26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179.273089533579</v>
      </c>
    </row>
    <row r="16" spans="1:26" x14ac:dyDescent="0.25">
      <c r="A16" s="8" t="s">
        <v>77</v>
      </c>
      <c r="B16" s="2">
        <f t="shared" ref="B16:B25" si="1">C3</f>
        <v>39434.959521822035</v>
      </c>
      <c r="C16" s="2">
        <v>180</v>
      </c>
      <c r="D16" s="2">
        <f t="shared" ref="D16:D25" si="2">B16*C16</f>
        <v>7098292.7139279665</v>
      </c>
      <c r="E16" s="7">
        <f>B16</f>
        <v>39434.959521822035</v>
      </c>
      <c r="F16" s="7">
        <f>C16</f>
        <v>180</v>
      </c>
      <c r="G16" s="7">
        <f>E16*F16</f>
        <v>7098292.7139279665</v>
      </c>
      <c r="H16" s="6">
        <f>B16</f>
        <v>39434.959521822035</v>
      </c>
      <c r="I16" s="6">
        <f>F16</f>
        <v>180</v>
      </c>
      <c r="J16" s="6">
        <f>H16*I16</f>
        <v>7098292.7139279665</v>
      </c>
      <c r="K16" s="10">
        <f>B16</f>
        <v>39434.959521822035</v>
      </c>
      <c r="L16" s="10">
        <f>I16</f>
        <v>180</v>
      </c>
      <c r="M16" s="10">
        <f>K16*L16</f>
        <v>7098292.7139279665</v>
      </c>
      <c r="N16" s="12" t="s">
        <v>68</v>
      </c>
      <c r="O16" s="7">
        <f>G26/E26</f>
        <v>179.33804419327018</v>
      </c>
    </row>
    <row r="17" spans="1:15" x14ac:dyDescent="0.25">
      <c r="A17" s="8" t="s">
        <v>71</v>
      </c>
      <c r="B17" s="2">
        <f t="shared" si="1"/>
        <v>37921.09095761479</v>
      </c>
      <c r="C17" s="2">
        <f>100 + 0.4*NonStop!I8</f>
        <v>176.4</v>
      </c>
      <c r="D17" s="2">
        <f t="shared" si="2"/>
        <v>6689280.4449232491</v>
      </c>
      <c r="E17" s="7">
        <f t="shared" ref="E17:E22" si="3">B17</f>
        <v>37921.09095761479</v>
      </c>
      <c r="F17" s="7">
        <f t="shared" ref="F17:F25" si="4">C17</f>
        <v>176.4</v>
      </c>
      <c r="G17" s="7">
        <f t="shared" ref="G17:G25" si="5">E17*F17</f>
        <v>6689280.4449232491</v>
      </c>
      <c r="H17" s="6">
        <f>B17</f>
        <v>37921.09095761479</v>
      </c>
      <c r="I17" s="6">
        <f t="shared" ref="I17:I25" si="6">F17</f>
        <v>176.4</v>
      </c>
      <c r="J17" s="6">
        <f t="shared" ref="J17:J25" si="7">H17*I17</f>
        <v>6689280.4449232491</v>
      </c>
      <c r="K17" s="10">
        <f>B17</f>
        <v>37921.09095761479</v>
      </c>
      <c r="L17" s="10">
        <f t="shared" ref="L17:L25" si="8">I17</f>
        <v>176.4</v>
      </c>
      <c r="M17" s="10">
        <f t="shared" ref="M17:M25" si="9">K17*L17</f>
        <v>6689280.4449232491</v>
      </c>
      <c r="N17" s="13" t="s">
        <v>69</v>
      </c>
      <c r="O17" s="6">
        <f>J26/H26</f>
        <v>179.69065993212891</v>
      </c>
    </row>
    <row r="18" spans="1:15" x14ac:dyDescent="0.25">
      <c r="A18" s="8" t="s">
        <v>72</v>
      </c>
      <c r="B18" s="2">
        <f t="shared" si="1"/>
        <v>15757.800000000001</v>
      </c>
      <c r="C18" s="2">
        <f>C16</f>
        <v>180</v>
      </c>
      <c r="D18" s="2">
        <f t="shared" si="2"/>
        <v>2836404</v>
      </c>
      <c r="E18" s="7">
        <f t="shared" si="3"/>
        <v>15757.800000000001</v>
      </c>
      <c r="F18" s="7">
        <f t="shared" si="4"/>
        <v>180</v>
      </c>
      <c r="G18" s="7">
        <f t="shared" si="5"/>
        <v>2836404</v>
      </c>
      <c r="H18" s="6">
        <f t="shared" ref="H18:H23" si="10">B18</f>
        <v>15757.800000000001</v>
      </c>
      <c r="I18" s="6">
        <f t="shared" si="6"/>
        <v>180</v>
      </c>
      <c r="J18" s="6">
        <f t="shared" si="7"/>
        <v>2836404</v>
      </c>
      <c r="K18" s="10">
        <f t="shared" ref="K18:K25" si="11">B18</f>
        <v>15757.800000000001</v>
      </c>
      <c r="L18" s="10">
        <f t="shared" si="8"/>
        <v>180</v>
      </c>
      <c r="M18" s="10">
        <f t="shared" si="9"/>
        <v>2836404</v>
      </c>
      <c r="N18" s="14" t="s">
        <v>70</v>
      </c>
      <c r="O18" s="10">
        <f>M26/K26</f>
        <v>178.71792389969892</v>
      </c>
    </row>
    <row r="19" spans="1:15" x14ac:dyDescent="0.25">
      <c r="A19" s="8" t="s">
        <v>73</v>
      </c>
      <c r="B19" s="2">
        <f t="shared" si="1"/>
        <v>7151.3716651505947</v>
      </c>
      <c r="C19" s="2">
        <f>C16-18.36</f>
        <v>161.63999999999999</v>
      </c>
      <c r="D19" s="2">
        <f t="shared" si="2"/>
        <v>1155947.7159549419</v>
      </c>
      <c r="E19" s="7">
        <f t="shared" si="3"/>
        <v>7151.3716651505947</v>
      </c>
      <c r="F19" s="7">
        <f t="shared" si="4"/>
        <v>161.63999999999999</v>
      </c>
      <c r="G19" s="7">
        <f t="shared" si="5"/>
        <v>1155947.7159549419</v>
      </c>
      <c r="H19" s="6">
        <f t="shared" si="10"/>
        <v>7151.3716651505947</v>
      </c>
      <c r="I19" s="6">
        <f t="shared" si="6"/>
        <v>161.63999999999999</v>
      </c>
      <c r="J19" s="6">
        <f t="shared" si="7"/>
        <v>1155947.7159549419</v>
      </c>
      <c r="K19" s="10">
        <f t="shared" si="11"/>
        <v>7151.3716651505947</v>
      </c>
      <c r="L19" s="10">
        <f t="shared" si="8"/>
        <v>161.63999999999999</v>
      </c>
      <c r="M19" s="10">
        <f t="shared" si="9"/>
        <v>1155947.7159549419</v>
      </c>
      <c r="N19" s="3"/>
      <c r="O19" s="3"/>
    </row>
    <row r="20" spans="1:15" x14ac:dyDescent="0.25">
      <c r="A20" s="8" t="s">
        <v>54</v>
      </c>
      <c r="B20" s="2">
        <f t="shared" si="1"/>
        <v>7755.5420392916558</v>
      </c>
      <c r="C20" s="2">
        <f>100+NonStop!I8-7.55</f>
        <v>283.45</v>
      </c>
      <c r="D20" s="2">
        <f t="shared" si="2"/>
        <v>2198308.3910372197</v>
      </c>
      <c r="E20" s="7">
        <f t="shared" si="3"/>
        <v>7755.5420392916558</v>
      </c>
      <c r="F20" s="7">
        <f t="shared" si="4"/>
        <v>283.45</v>
      </c>
      <c r="G20" s="7">
        <f t="shared" si="5"/>
        <v>2198308.3910372197</v>
      </c>
      <c r="H20" s="6">
        <f t="shared" si="10"/>
        <v>7755.5420392916558</v>
      </c>
      <c r="I20" s="6">
        <f t="shared" si="6"/>
        <v>283.45</v>
      </c>
      <c r="J20" s="6">
        <f t="shared" si="7"/>
        <v>2198308.3910372197</v>
      </c>
      <c r="K20" s="10">
        <f t="shared" si="11"/>
        <v>7755.5420392916558</v>
      </c>
      <c r="L20" s="10">
        <f t="shared" si="8"/>
        <v>283.45</v>
      </c>
      <c r="M20" s="10">
        <f t="shared" si="9"/>
        <v>2198308.3910372197</v>
      </c>
      <c r="N20" s="3"/>
      <c r="O20" s="3"/>
    </row>
    <row r="21" spans="1:15" x14ac:dyDescent="0.25">
      <c r="A21" s="8" t="s">
        <v>55</v>
      </c>
      <c r="B21" s="2">
        <f t="shared" si="1"/>
        <v>35992.609920733958</v>
      </c>
      <c r="C21" s="2">
        <f>C19</f>
        <v>161.63999999999999</v>
      </c>
      <c r="D21" s="2">
        <f t="shared" si="2"/>
        <v>5817845.4675874365</v>
      </c>
      <c r="E21" s="7">
        <f t="shared" si="3"/>
        <v>35992.609920733958</v>
      </c>
      <c r="F21" s="7">
        <f t="shared" si="4"/>
        <v>161.63999999999999</v>
      </c>
      <c r="G21" s="7">
        <f t="shared" si="5"/>
        <v>5817845.4675874365</v>
      </c>
      <c r="H21" s="6">
        <f t="shared" si="10"/>
        <v>35992.609920733958</v>
      </c>
      <c r="I21" s="6">
        <f t="shared" si="6"/>
        <v>161.63999999999999</v>
      </c>
      <c r="J21" s="6">
        <f t="shared" si="7"/>
        <v>5817845.4675874365</v>
      </c>
      <c r="K21" s="10">
        <f t="shared" si="11"/>
        <v>35992.609920733958</v>
      </c>
      <c r="L21" s="10">
        <f t="shared" si="8"/>
        <v>161.63999999999999</v>
      </c>
      <c r="M21" s="10">
        <f t="shared" si="9"/>
        <v>5817845.4675874365</v>
      </c>
      <c r="N21" s="3" t="s">
        <v>81</v>
      </c>
      <c r="O21">
        <f>C16-NonStop!C14*0.1</f>
        <v>178.55105600363817</v>
      </c>
    </row>
    <row r="22" spans="1:15" x14ac:dyDescent="0.25">
      <c r="A22" s="8" t="s">
        <v>56</v>
      </c>
      <c r="B22" s="2">
        <f t="shared" si="1"/>
        <v>46828.074999999997</v>
      </c>
      <c r="C22" s="2">
        <f>C16</f>
        <v>180</v>
      </c>
      <c r="D22" s="2">
        <f t="shared" si="2"/>
        <v>8429053.5</v>
      </c>
      <c r="E22" s="7">
        <f t="shared" si="3"/>
        <v>46828.074999999997</v>
      </c>
      <c r="F22" s="7">
        <f t="shared" si="4"/>
        <v>180</v>
      </c>
      <c r="G22" s="7">
        <f t="shared" si="5"/>
        <v>8429053.5</v>
      </c>
      <c r="H22" s="6">
        <f t="shared" si="10"/>
        <v>46828.074999999997</v>
      </c>
      <c r="I22" s="6">
        <f t="shared" si="6"/>
        <v>180</v>
      </c>
      <c r="J22" s="6">
        <f t="shared" si="7"/>
        <v>8429053.5</v>
      </c>
      <c r="K22" s="10">
        <f t="shared" si="11"/>
        <v>46828.074999999997</v>
      </c>
      <c r="L22" s="10">
        <f t="shared" si="8"/>
        <v>180</v>
      </c>
      <c r="M22" s="10">
        <f t="shared" si="9"/>
        <v>8429053.5</v>
      </c>
      <c r="N22" s="3" t="s">
        <v>82</v>
      </c>
      <c r="O22">
        <f>C16+NonStop!C14*0.1</f>
        <v>181.44894399636183</v>
      </c>
    </row>
    <row r="23" spans="1:15" x14ac:dyDescent="0.25">
      <c r="A23" s="8" t="s">
        <v>38</v>
      </c>
      <c r="B23" s="2">
        <f t="shared" si="1"/>
        <v>172840.4141625</v>
      </c>
      <c r="C23" s="2">
        <f>C16+0.08</f>
        <v>180.08</v>
      </c>
      <c r="D23" s="2">
        <f t="shared" si="2"/>
        <v>31125101.782383002</v>
      </c>
      <c r="E23" s="7">
        <v>0</v>
      </c>
      <c r="F23" s="7">
        <f t="shared" si="4"/>
        <v>180.08</v>
      </c>
      <c r="G23" s="7">
        <f t="shared" si="5"/>
        <v>0</v>
      </c>
      <c r="H23" s="6">
        <f t="shared" si="10"/>
        <v>172840.4141625</v>
      </c>
      <c r="I23" s="6">
        <f t="shared" si="6"/>
        <v>180.08</v>
      </c>
      <c r="J23" s="6">
        <f t="shared" si="7"/>
        <v>31125101.782383002</v>
      </c>
      <c r="K23" s="10">
        <v>0</v>
      </c>
      <c r="L23" s="10">
        <f t="shared" si="8"/>
        <v>180.08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54375</v>
      </c>
      <c r="C24" s="2">
        <f>C17</f>
        <v>176.4</v>
      </c>
      <c r="D24" s="2">
        <f t="shared" si="2"/>
        <v>9591750</v>
      </c>
      <c r="E24" s="7">
        <v>0</v>
      </c>
      <c r="F24" s="7">
        <f t="shared" si="4"/>
        <v>176.4</v>
      </c>
      <c r="G24" s="7">
        <f t="shared" si="5"/>
        <v>0</v>
      </c>
      <c r="H24" s="6">
        <v>0</v>
      </c>
      <c r="I24" s="6">
        <f t="shared" si="6"/>
        <v>176.4</v>
      </c>
      <c r="J24" s="6">
        <f t="shared" si="7"/>
        <v>0</v>
      </c>
      <c r="K24" s="10">
        <f t="shared" si="11"/>
        <v>54375</v>
      </c>
      <c r="L24" s="10">
        <f t="shared" si="8"/>
        <v>176.4</v>
      </c>
      <c r="M24" s="10">
        <f t="shared" si="9"/>
        <v>9591750</v>
      </c>
      <c r="N24" s="3"/>
      <c r="O24" s="3"/>
    </row>
    <row r="25" spans="1:15" x14ac:dyDescent="0.25">
      <c r="A25" s="8" t="s">
        <v>58</v>
      </c>
      <c r="B25" s="2">
        <f t="shared" si="1"/>
        <v>6000</v>
      </c>
      <c r="C25" s="2">
        <f>C16</f>
        <v>180</v>
      </c>
      <c r="D25" s="2">
        <f t="shared" si="2"/>
        <v>1080000</v>
      </c>
      <c r="E25" s="7">
        <v>0</v>
      </c>
      <c r="F25" s="7">
        <f t="shared" si="4"/>
        <v>180</v>
      </c>
      <c r="G25" s="7">
        <f t="shared" si="5"/>
        <v>0</v>
      </c>
      <c r="H25" s="6">
        <v>0</v>
      </c>
      <c r="I25" s="6">
        <f t="shared" si="6"/>
        <v>180</v>
      </c>
      <c r="J25" s="6">
        <f t="shared" si="7"/>
        <v>0</v>
      </c>
      <c r="K25" s="10">
        <f t="shared" si="11"/>
        <v>6000</v>
      </c>
      <c r="L25" s="10">
        <f t="shared" si="8"/>
        <v>180</v>
      </c>
      <c r="M25" s="10">
        <f t="shared" si="9"/>
        <v>1080000</v>
      </c>
      <c r="N25" s="3"/>
      <c r="O25" s="3"/>
    </row>
    <row r="26" spans="1:15" x14ac:dyDescent="0.25">
      <c r="A26" s="3" t="s">
        <v>74</v>
      </c>
      <c r="B26" s="15">
        <f>SUM(B16:B25)</f>
        <v>424056.86326711305</v>
      </c>
      <c r="C26" s="15"/>
      <c r="D26" s="15">
        <f>SUM(D16:D25)</f>
        <v>76021984.015813828</v>
      </c>
      <c r="E26" s="15">
        <f>SUM(E16:E25)</f>
        <v>190841.44910461304</v>
      </c>
      <c r="F26" s="15"/>
      <c r="G26" s="15">
        <f>SUM(G16:G25)</f>
        <v>34225132.233430818</v>
      </c>
      <c r="H26" s="15">
        <f>SUM(H16:H25)</f>
        <v>363681.86326711305</v>
      </c>
      <c r="I26" s="15"/>
      <c r="J26" s="15">
        <f>SUM(J16:J25)</f>
        <v>65350234.01581382</v>
      </c>
      <c r="K26" s="15">
        <f>SUM(K16:K25)</f>
        <v>251216.44910461304</v>
      </c>
      <c r="L26" s="15"/>
      <c r="M26" s="15">
        <f>SUM(M16:M25)</f>
        <v>44896882.233430818</v>
      </c>
      <c r="N26" s="9"/>
      <c r="O26" s="9"/>
    </row>
    <row r="27" spans="1:15" x14ac:dyDescent="0.25">
      <c r="B27" s="128" t="s">
        <v>80</v>
      </c>
      <c r="C27" s="129"/>
      <c r="D27" s="20">
        <f>C16-O15</f>
        <v>0.72691046642100332</v>
      </c>
    </row>
    <row r="28" spans="1:15" x14ac:dyDescent="0.25">
      <c r="C28">
        <f>C20-NonStop!E10</f>
        <v>180</v>
      </c>
    </row>
  </sheetData>
  <mergeCells count="5">
    <mergeCell ref="K14:M14"/>
    <mergeCell ref="H14:J14"/>
    <mergeCell ref="E14:G14"/>
    <mergeCell ref="B14:D14"/>
    <mergeCell ref="B27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E652-37C4-4589-B874-AC1D71A06A20}">
  <dimension ref="B1:I173"/>
  <sheetViews>
    <sheetView workbookViewId="0">
      <selection activeCell="F27" sqref="F27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124" t="s">
        <v>0</v>
      </c>
      <c r="C1" s="124"/>
    </row>
    <row r="2" spans="2:9" x14ac:dyDescent="0.25">
      <c r="B2" s="6" t="s">
        <v>1</v>
      </c>
      <c r="C2" s="6">
        <v>6.71</v>
      </c>
    </row>
    <row r="6" spans="2:9" x14ac:dyDescent="0.25">
      <c r="B6" s="121" t="s">
        <v>2</v>
      </c>
      <c r="C6" s="121"/>
      <c r="D6" s="121" t="s">
        <v>3</v>
      </c>
      <c r="E6" s="121"/>
      <c r="F6" s="121" t="s">
        <v>4</v>
      </c>
      <c r="G6" s="122"/>
      <c r="H6" s="121" t="s">
        <v>5</v>
      </c>
      <c r="I6" s="121"/>
    </row>
    <row r="7" spans="2:9" x14ac:dyDescent="0.25">
      <c r="B7" s="1" t="s">
        <v>8</v>
      </c>
      <c r="C7" s="1">
        <v>9.5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174</v>
      </c>
    </row>
    <row r="9" spans="2:9" x14ac:dyDescent="0.25">
      <c r="B9" s="1" t="s">
        <v>10</v>
      </c>
      <c r="C9" s="1">
        <v>31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14.7</v>
      </c>
    </row>
    <row r="10" spans="2:9" x14ac:dyDescent="0.25">
      <c r="B10" s="1" t="s">
        <v>11</v>
      </c>
      <c r="C10" s="1">
        <v>2224</v>
      </c>
      <c r="D10" s="2" t="s">
        <v>34</v>
      </c>
      <c r="E10" s="2">
        <v>85.52</v>
      </c>
      <c r="F10" s="2" t="s">
        <v>35</v>
      </c>
      <c r="G10" s="2">
        <f>E10</f>
        <v>85.52</v>
      </c>
      <c r="H10" s="1" t="s">
        <v>20</v>
      </c>
      <c r="I10" s="1">
        <v>237646</v>
      </c>
    </row>
    <row r="11" spans="2:9" x14ac:dyDescent="0.25">
      <c r="B11" s="1" t="s">
        <v>12</v>
      </c>
      <c r="C11" s="1">
        <v>145</v>
      </c>
      <c r="D11" s="3" t="s">
        <v>10</v>
      </c>
      <c r="E11" s="3">
        <f>C9+5</f>
        <v>36</v>
      </c>
      <c r="F11" s="3" t="s">
        <v>10</v>
      </c>
      <c r="G11" s="5">
        <f>C9+5</f>
        <v>36</v>
      </c>
      <c r="H11" s="1" t="s">
        <v>21</v>
      </c>
      <c r="I11" s="1">
        <f>I14-I13</f>
        <v>177660.52499999999</v>
      </c>
    </row>
    <row r="12" spans="2:9" x14ac:dyDescent="0.25">
      <c r="B12" s="3" t="s">
        <v>13</v>
      </c>
      <c r="C12" s="3">
        <f>2*C10/(C11*(1+C8))</f>
        <v>22.72286079182631</v>
      </c>
      <c r="D12" s="3" t="s">
        <v>11</v>
      </c>
      <c r="E12" s="3">
        <f>E9*C10*C14/E10</f>
        <v>351.67430024697001</v>
      </c>
      <c r="F12" s="3" t="s">
        <v>11</v>
      </c>
      <c r="G12" s="5">
        <f>G9*C10*C11/G10</f>
        <v>301.66510757717498</v>
      </c>
      <c r="H12" s="1" t="s">
        <v>22</v>
      </c>
      <c r="I12" s="1">
        <v>0.26500000000000001</v>
      </c>
    </row>
    <row r="13" spans="2:9" x14ac:dyDescent="0.25">
      <c r="B13" s="3" t="s">
        <v>14</v>
      </c>
      <c r="C13" s="3">
        <f>C8*C12</f>
        <v>7.953001277139208</v>
      </c>
      <c r="D13" s="3" t="s">
        <v>12</v>
      </c>
      <c r="E13" s="3">
        <f>(E7*E12)^(1/2)</f>
        <v>37.505962205866417</v>
      </c>
      <c r="F13" s="3" t="s">
        <v>12</v>
      </c>
      <c r="G13" s="3">
        <f>(G7*G12)^(1/2)</f>
        <v>21.969619298555905</v>
      </c>
      <c r="H13" s="1" t="s">
        <v>23</v>
      </c>
      <c r="I13" s="1">
        <f>I14*I12</f>
        <v>64054.475000000006</v>
      </c>
    </row>
    <row r="14" spans="2:9" x14ac:dyDescent="0.25">
      <c r="B14" s="3" t="s">
        <v>15</v>
      </c>
      <c r="C14" s="3">
        <f>2/3*C12*(1+C8-(C8/(1-C8)))</f>
        <v>12.293650325834236</v>
      </c>
      <c r="D14" s="3" t="s">
        <v>13</v>
      </c>
      <c r="E14" s="3">
        <f>2*E12/(E13*(1+E8))</f>
        <v>13.891097113283857</v>
      </c>
      <c r="F14" s="3" t="s">
        <v>13</v>
      </c>
      <c r="G14" s="3">
        <f>2*G12/(G13*(1+G8))</f>
        <v>18.308016082129914</v>
      </c>
      <c r="H14" s="1" t="s">
        <v>32</v>
      </c>
      <c r="I14" s="1">
        <v>241715</v>
      </c>
    </row>
    <row r="15" spans="2:9" x14ac:dyDescent="0.25">
      <c r="B15" s="3" t="s">
        <v>16</v>
      </c>
      <c r="C15" s="3">
        <f>C11/6*((1+2*C8)/(1+C8))</f>
        <v>30.432098765432094</v>
      </c>
      <c r="D15" s="3" t="s">
        <v>14</v>
      </c>
      <c r="E15" s="3">
        <f>E8*E14</f>
        <v>4.8618839896493498</v>
      </c>
      <c r="F15" s="3" t="s">
        <v>14</v>
      </c>
      <c r="G15" s="3">
        <f>G8*G14</f>
        <v>9.1540080410649569</v>
      </c>
      <c r="H15" s="121" t="s">
        <v>6</v>
      </c>
      <c r="I15" s="121"/>
    </row>
    <row r="16" spans="2:9" x14ac:dyDescent="0.25">
      <c r="D16" s="3" t="s">
        <v>15</v>
      </c>
      <c r="E16" s="3">
        <f>2/3*E14*(1+E8-(E8/(1-E8)))</f>
        <v>7.5154397202638306</v>
      </c>
      <c r="F16" s="3" t="s">
        <v>15</v>
      </c>
      <c r="G16" s="3">
        <f>2/3*G14*(1+G8-(G8/(1-G8)))</f>
        <v>6.1026720273766379</v>
      </c>
      <c r="H16" s="3" t="s">
        <v>24</v>
      </c>
      <c r="I16" s="3">
        <f>I13/C2</f>
        <v>9546.1214605067071</v>
      </c>
    </row>
    <row r="17" spans="2:9" x14ac:dyDescent="0.25">
      <c r="B17" s="122" t="s">
        <v>7</v>
      </c>
      <c r="C17" s="123"/>
      <c r="D17" s="3" t="s">
        <v>16</v>
      </c>
      <c r="E17" s="3">
        <f>E13/6*((1+2*E8)/(1+E8))</f>
        <v>7.8716216975275186</v>
      </c>
      <c r="F17" s="3" t="s">
        <v>16</v>
      </c>
      <c r="G17" s="3">
        <f>G13/6*((1+2*G8)/(1+G8))</f>
        <v>4.882137621901312</v>
      </c>
      <c r="H17" s="3" t="s">
        <v>25</v>
      </c>
      <c r="I17" s="3">
        <f>I16/7.481</f>
        <v>1276.048851825519</v>
      </c>
    </row>
    <row r="18" spans="2:9" x14ac:dyDescent="0.25">
      <c r="B18" s="1" t="s">
        <v>26</v>
      </c>
      <c r="C18" s="1">
        <v>40141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83</v>
      </c>
      <c r="D20">
        <f>C20/12</f>
        <v>6.916666666666667</v>
      </c>
    </row>
    <row r="21" spans="2:9" x14ac:dyDescent="0.25">
      <c r="B21" s="6" t="s">
        <v>29</v>
      </c>
      <c r="C21" s="6">
        <v>135</v>
      </c>
    </row>
    <row r="22" spans="2:9" x14ac:dyDescent="0.25">
      <c r="B22" s="3" t="s">
        <v>30</v>
      </c>
      <c r="C22" s="3">
        <f>1.1*C20</f>
        <v>91.300000000000011</v>
      </c>
      <c r="D22">
        <f>C22/12</f>
        <v>7.6083333333333343</v>
      </c>
    </row>
    <row r="23" spans="2:9" x14ac:dyDescent="0.25">
      <c r="B23" s="3" t="s">
        <v>31</v>
      </c>
      <c r="C23" s="3">
        <f>1.1*(0.7*C22+C21)</f>
        <v>218.80100000000002</v>
      </c>
      <c r="D23">
        <f>C23/12</f>
        <v>18.233416666666667</v>
      </c>
    </row>
    <row r="34" spans="4:8" x14ac:dyDescent="0.25">
      <c r="D34" s="130"/>
      <c r="E34" s="130"/>
      <c r="F34" s="130"/>
      <c r="G34" s="63"/>
      <c r="H34" s="63"/>
    </row>
    <row r="35" spans="4:8" x14ac:dyDescent="0.25">
      <c r="D35" s="130"/>
      <c r="E35" s="130"/>
      <c r="F35" s="130"/>
      <c r="G35" s="63"/>
      <c r="H35" s="63"/>
    </row>
    <row r="36" spans="4:8" x14ac:dyDescent="0.25">
      <c r="D36" s="131"/>
      <c r="E36" s="131"/>
      <c r="F36" s="131"/>
    </row>
    <row r="37" spans="4:8" x14ac:dyDescent="0.25">
      <c r="D37" s="131"/>
      <c r="E37" s="131"/>
      <c r="F37" s="131"/>
    </row>
    <row r="38" spans="4:8" x14ac:dyDescent="0.25">
      <c r="D38" s="130"/>
      <c r="E38" s="130"/>
      <c r="F38" s="130"/>
      <c r="G38" s="56"/>
      <c r="H38" s="56"/>
    </row>
    <row r="39" spans="4:8" x14ac:dyDescent="0.25">
      <c r="D39" s="130"/>
      <c r="E39" s="130"/>
      <c r="F39" s="130"/>
      <c r="G39" s="56"/>
      <c r="H39" s="56"/>
    </row>
    <row r="40" spans="4:8" x14ac:dyDescent="0.25">
      <c r="D40" s="131"/>
      <c r="E40" s="132"/>
      <c r="F40" s="132"/>
    </row>
    <row r="41" spans="4:8" x14ac:dyDescent="0.25">
      <c r="D41" s="131"/>
      <c r="E41" s="132"/>
      <c r="F41" s="132"/>
    </row>
    <row r="42" spans="4:8" x14ac:dyDescent="0.25">
      <c r="D42" s="131"/>
      <c r="E42" s="132"/>
      <c r="F42" s="132"/>
    </row>
    <row r="43" spans="4:8" x14ac:dyDescent="0.25">
      <c r="D43" s="131"/>
      <c r="E43" s="132"/>
      <c r="F43" s="132"/>
    </row>
    <row r="44" spans="4:8" x14ac:dyDescent="0.25">
      <c r="D44" s="131"/>
      <c r="E44" s="132"/>
      <c r="F44" s="132"/>
    </row>
    <row r="45" spans="4:8" x14ac:dyDescent="0.25">
      <c r="D45" s="131"/>
      <c r="E45" s="132"/>
      <c r="F45" s="132"/>
    </row>
    <row r="46" spans="4:8" x14ac:dyDescent="0.25">
      <c r="D46" s="131"/>
      <c r="E46" s="132"/>
      <c r="F46" s="132"/>
    </row>
    <row r="47" spans="4:8" x14ac:dyDescent="0.25">
      <c r="D47" s="131"/>
      <c r="E47" s="132"/>
      <c r="F47" s="132"/>
    </row>
    <row r="48" spans="4:8" x14ac:dyDescent="0.25">
      <c r="D48" s="131"/>
      <c r="E48" s="132"/>
      <c r="F48" s="132"/>
    </row>
    <row r="49" spans="4:8" x14ac:dyDescent="0.25">
      <c r="D49" s="131"/>
      <c r="E49" s="132"/>
      <c r="F49" s="132"/>
    </row>
    <row r="50" spans="4:8" x14ac:dyDescent="0.25">
      <c r="D50" s="131"/>
      <c r="E50" s="132"/>
      <c r="F50" s="132"/>
    </row>
    <row r="51" spans="4:8" x14ac:dyDescent="0.25">
      <c r="D51" s="131"/>
      <c r="E51" s="132"/>
      <c r="F51" s="132"/>
    </row>
    <row r="52" spans="4:8" x14ac:dyDescent="0.25">
      <c r="D52" s="131"/>
      <c r="E52" s="132"/>
      <c r="F52" s="132"/>
    </row>
    <row r="53" spans="4:8" x14ac:dyDescent="0.25">
      <c r="D53" s="131"/>
      <c r="E53" s="132"/>
      <c r="F53" s="132"/>
    </row>
    <row r="54" spans="4:8" x14ac:dyDescent="0.25">
      <c r="D54" s="131"/>
      <c r="E54" s="132"/>
      <c r="F54" s="132"/>
    </row>
    <row r="55" spans="4:8" x14ac:dyDescent="0.25">
      <c r="D55" s="131"/>
      <c r="E55" s="132"/>
      <c r="F55" s="132"/>
    </row>
    <row r="56" spans="4:8" x14ac:dyDescent="0.25">
      <c r="D56" s="130"/>
      <c r="E56" s="130"/>
      <c r="F56" s="130"/>
      <c r="G56" s="56"/>
      <c r="H56" s="56"/>
    </row>
    <row r="57" spans="4:8" x14ac:dyDescent="0.25">
      <c r="D57" s="130"/>
      <c r="E57" s="130"/>
      <c r="F57" s="130"/>
      <c r="G57" s="56"/>
      <c r="H57" s="56"/>
    </row>
    <row r="58" spans="4:8" x14ac:dyDescent="0.25">
      <c r="D58" s="131"/>
      <c r="E58" s="132"/>
      <c r="F58" s="132"/>
    </row>
    <row r="59" spans="4:8" x14ac:dyDescent="0.25">
      <c r="D59" s="131"/>
      <c r="E59" s="132"/>
      <c r="F59" s="132"/>
    </row>
    <row r="60" spans="4:8" x14ac:dyDescent="0.25">
      <c r="D60" s="131"/>
      <c r="E60" s="132"/>
      <c r="F60" s="132"/>
    </row>
    <row r="61" spans="4:8" x14ac:dyDescent="0.25">
      <c r="D61" s="131"/>
      <c r="E61" s="132"/>
      <c r="F61" s="132"/>
    </row>
    <row r="62" spans="4:8" x14ac:dyDescent="0.25">
      <c r="D62" s="131"/>
      <c r="E62" s="132"/>
      <c r="F62" s="56"/>
    </row>
    <row r="63" spans="4:8" x14ac:dyDescent="0.25">
      <c r="D63" s="131"/>
      <c r="E63" s="132"/>
      <c r="F63" s="56"/>
    </row>
    <row r="64" spans="4:8" x14ac:dyDescent="0.25">
      <c r="D64" s="131"/>
      <c r="E64" s="132"/>
      <c r="F64" s="56"/>
    </row>
    <row r="65" spans="4:8" x14ac:dyDescent="0.25">
      <c r="D65" s="131"/>
      <c r="E65" s="132"/>
      <c r="F65" s="56"/>
    </row>
    <row r="66" spans="4:8" x14ac:dyDescent="0.25">
      <c r="D66" s="131"/>
      <c r="E66" s="132"/>
      <c r="F66" s="56"/>
    </row>
    <row r="67" spans="4:8" x14ac:dyDescent="0.25">
      <c r="D67" s="131"/>
      <c r="E67" s="132"/>
      <c r="F67" s="56"/>
    </row>
    <row r="68" spans="4:8" x14ac:dyDescent="0.25">
      <c r="D68" s="131"/>
      <c r="E68" s="132"/>
      <c r="F68" s="56"/>
    </row>
    <row r="69" spans="4:8" x14ac:dyDescent="0.25">
      <c r="D69" s="131"/>
      <c r="E69" s="132"/>
      <c r="F69" s="56"/>
    </row>
    <row r="70" spans="4:8" x14ac:dyDescent="0.25">
      <c r="D70" s="131"/>
      <c r="E70" s="132"/>
      <c r="F70" s="56"/>
    </row>
    <row r="71" spans="4:8" x14ac:dyDescent="0.25">
      <c r="D71" s="131"/>
      <c r="E71" s="132"/>
      <c r="F71" s="56"/>
    </row>
    <row r="72" spans="4:8" x14ac:dyDescent="0.25">
      <c r="D72" s="131"/>
      <c r="E72" s="132"/>
      <c r="F72" s="56"/>
    </row>
    <row r="73" spans="4:8" x14ac:dyDescent="0.25">
      <c r="D73" s="131"/>
      <c r="E73" s="132"/>
      <c r="F73" s="56"/>
    </row>
    <row r="74" spans="4:8" x14ac:dyDescent="0.25">
      <c r="D74" s="130"/>
      <c r="E74" s="130"/>
      <c r="F74" s="130"/>
      <c r="G74" s="56"/>
      <c r="H74" s="56"/>
    </row>
    <row r="75" spans="4:8" x14ac:dyDescent="0.25">
      <c r="D75" s="130"/>
      <c r="E75" s="130"/>
      <c r="F75" s="130"/>
      <c r="G75" s="56"/>
      <c r="H75" s="56"/>
    </row>
    <row r="76" spans="4:8" x14ac:dyDescent="0.25">
      <c r="D76" s="131"/>
      <c r="E76" s="132"/>
      <c r="F76" s="56"/>
    </row>
    <row r="77" spans="4:8" x14ac:dyDescent="0.25">
      <c r="D77" s="131"/>
      <c r="E77" s="132"/>
      <c r="F77" s="56"/>
    </row>
    <row r="78" spans="4:8" x14ac:dyDescent="0.25">
      <c r="D78" s="131"/>
      <c r="E78" s="132"/>
      <c r="F78" s="56"/>
    </row>
    <row r="79" spans="4:8" x14ac:dyDescent="0.25">
      <c r="D79" s="131"/>
      <c r="E79" s="132"/>
      <c r="F79" s="56"/>
    </row>
    <row r="80" spans="4:8" x14ac:dyDescent="0.25">
      <c r="D80" s="131"/>
      <c r="E80" s="132"/>
      <c r="F80" s="56"/>
    </row>
    <row r="81" spans="4:8" x14ac:dyDescent="0.25">
      <c r="D81" s="131"/>
      <c r="E81" s="132"/>
      <c r="F81" s="56"/>
    </row>
    <row r="82" spans="4:8" x14ac:dyDescent="0.25">
      <c r="D82" s="131"/>
      <c r="E82" s="132"/>
      <c r="F82" s="56"/>
    </row>
    <row r="83" spans="4:8" x14ac:dyDescent="0.25">
      <c r="D83" s="131"/>
      <c r="E83" s="132"/>
      <c r="F83" s="56"/>
    </row>
    <row r="84" spans="4:8" x14ac:dyDescent="0.25">
      <c r="D84" s="131"/>
      <c r="E84" s="132"/>
      <c r="F84" s="56"/>
    </row>
    <row r="85" spans="4:8" x14ac:dyDescent="0.25">
      <c r="D85" s="131"/>
      <c r="E85" s="132"/>
      <c r="F85" s="56"/>
    </row>
    <row r="86" spans="4:8" x14ac:dyDescent="0.25">
      <c r="D86" s="131"/>
      <c r="E86" s="132"/>
      <c r="F86" s="56"/>
    </row>
    <row r="87" spans="4:8" x14ac:dyDescent="0.25">
      <c r="D87" s="131"/>
      <c r="E87" s="132"/>
      <c r="F87" s="56"/>
    </row>
    <row r="88" spans="4:8" x14ac:dyDescent="0.25">
      <c r="D88" s="131"/>
      <c r="E88" s="132"/>
      <c r="F88" s="56"/>
    </row>
    <row r="89" spans="4:8" x14ac:dyDescent="0.25">
      <c r="D89" s="131"/>
      <c r="E89" s="132"/>
      <c r="F89" s="56"/>
    </row>
    <row r="90" spans="4:8" x14ac:dyDescent="0.25">
      <c r="D90" s="130"/>
      <c r="E90" s="130"/>
      <c r="F90" s="130"/>
      <c r="G90" s="56"/>
      <c r="H90" s="56"/>
    </row>
    <row r="91" spans="4:8" x14ac:dyDescent="0.25">
      <c r="D91" s="130"/>
      <c r="E91" s="130"/>
      <c r="F91" s="130"/>
      <c r="G91" s="56"/>
      <c r="H91" s="56"/>
    </row>
    <row r="92" spans="4:8" x14ac:dyDescent="0.25">
      <c r="D92" s="131"/>
      <c r="E92" s="132"/>
      <c r="F92" s="56"/>
    </row>
    <row r="93" spans="4:8" x14ac:dyDescent="0.25">
      <c r="D93" s="131"/>
      <c r="E93" s="132"/>
      <c r="F93" s="56"/>
    </row>
    <row r="94" spans="4:8" x14ac:dyDescent="0.25">
      <c r="D94" s="131"/>
      <c r="E94" s="132"/>
      <c r="F94" s="56"/>
    </row>
    <row r="95" spans="4:8" x14ac:dyDescent="0.25">
      <c r="D95" s="131"/>
      <c r="E95" s="132"/>
      <c r="F95" s="56"/>
    </row>
    <row r="96" spans="4:8" x14ac:dyDescent="0.25">
      <c r="D96" s="130"/>
      <c r="E96" s="130"/>
      <c r="F96" s="130"/>
      <c r="G96" s="56"/>
      <c r="H96" s="56"/>
    </row>
    <row r="97" spans="4:8" x14ac:dyDescent="0.25">
      <c r="D97" s="130"/>
      <c r="E97" s="130"/>
      <c r="F97" s="130"/>
      <c r="G97" s="56"/>
      <c r="H97" s="56"/>
    </row>
    <row r="98" spans="4:8" x14ac:dyDescent="0.25">
      <c r="D98" s="131"/>
      <c r="E98" s="132"/>
      <c r="F98" s="56"/>
    </row>
    <row r="99" spans="4:8" x14ac:dyDescent="0.25">
      <c r="D99" s="131"/>
      <c r="E99" s="132"/>
      <c r="F99" s="56"/>
    </row>
    <row r="100" spans="4:8" x14ac:dyDescent="0.25">
      <c r="D100" s="131"/>
      <c r="E100" s="132"/>
      <c r="F100" s="56"/>
    </row>
    <row r="101" spans="4:8" x14ac:dyDescent="0.25">
      <c r="D101" s="131"/>
      <c r="E101" s="132"/>
      <c r="F101" s="56"/>
    </row>
    <row r="102" spans="4:8" x14ac:dyDescent="0.25">
      <c r="D102" s="130"/>
      <c r="E102" s="130"/>
      <c r="F102" s="130"/>
      <c r="G102" s="63"/>
      <c r="H102" s="63"/>
    </row>
    <row r="103" spans="4:8" x14ac:dyDescent="0.25">
      <c r="D103" s="130"/>
      <c r="E103" s="130"/>
      <c r="F103" s="130"/>
      <c r="G103" s="63"/>
      <c r="H103" s="63"/>
    </row>
    <row r="104" spans="4:8" x14ac:dyDescent="0.25">
      <c r="D104" s="131"/>
      <c r="E104" s="132"/>
      <c r="F104" s="56"/>
    </row>
    <row r="105" spans="4:8" x14ac:dyDescent="0.25">
      <c r="D105" s="131"/>
      <c r="E105" s="132"/>
      <c r="F105" s="56"/>
    </row>
    <row r="106" spans="4:8" x14ac:dyDescent="0.25">
      <c r="D106" s="131"/>
      <c r="E106" s="132"/>
      <c r="F106" s="56"/>
    </row>
    <row r="107" spans="4:8" x14ac:dyDescent="0.25">
      <c r="D107" s="131"/>
      <c r="E107" s="132"/>
      <c r="F107" s="56"/>
    </row>
    <row r="108" spans="4:8" x14ac:dyDescent="0.25">
      <c r="D108" s="131"/>
      <c r="E108" s="56"/>
      <c r="F108" s="56"/>
    </row>
    <row r="109" spans="4:8" x14ac:dyDescent="0.25">
      <c r="D109" s="131"/>
      <c r="E109" s="56"/>
      <c r="F109" s="56"/>
    </row>
    <row r="110" spans="4:8" x14ac:dyDescent="0.25">
      <c r="D110" s="131"/>
      <c r="E110" s="56"/>
      <c r="F110" s="56"/>
    </row>
    <row r="111" spans="4:8" x14ac:dyDescent="0.25">
      <c r="D111" s="131"/>
      <c r="E111" s="56"/>
      <c r="F111" s="56"/>
    </row>
    <row r="112" spans="4:8" x14ac:dyDescent="0.25">
      <c r="D112" s="130"/>
      <c r="E112" s="130"/>
      <c r="F112" s="130"/>
      <c r="G112" s="56"/>
      <c r="H112" s="56"/>
    </row>
    <row r="113" spans="4:8" x14ac:dyDescent="0.25">
      <c r="D113" s="130"/>
      <c r="E113" s="130"/>
      <c r="F113" s="130"/>
      <c r="G113" s="56"/>
      <c r="H113" s="56"/>
    </row>
    <row r="114" spans="4:8" x14ac:dyDescent="0.25">
      <c r="D114" s="131"/>
      <c r="E114" s="132"/>
      <c r="F114" s="56"/>
    </row>
    <row r="115" spans="4:8" x14ac:dyDescent="0.25">
      <c r="D115" s="131"/>
      <c r="E115" s="132"/>
      <c r="F115" s="56"/>
    </row>
    <row r="116" spans="4:8" x14ac:dyDescent="0.25">
      <c r="D116" s="131"/>
      <c r="E116" s="132"/>
      <c r="F116" s="56"/>
    </row>
    <row r="117" spans="4:8" x14ac:dyDescent="0.25">
      <c r="D117" s="131"/>
      <c r="E117" s="132"/>
      <c r="F117" s="56"/>
    </row>
    <row r="118" spans="4:8" x14ac:dyDescent="0.25">
      <c r="D118" s="131"/>
      <c r="E118" s="132"/>
      <c r="F118" s="56"/>
    </row>
    <row r="119" spans="4:8" x14ac:dyDescent="0.25">
      <c r="D119" s="131"/>
      <c r="E119" s="132"/>
      <c r="F119" s="56"/>
    </row>
    <row r="120" spans="4:8" x14ac:dyDescent="0.25">
      <c r="D120" s="130"/>
      <c r="E120" s="130"/>
      <c r="F120" s="130"/>
      <c r="G120" s="56"/>
      <c r="H120" s="56"/>
    </row>
    <row r="121" spans="4:8" x14ac:dyDescent="0.25">
      <c r="D121" s="130"/>
      <c r="E121" s="130"/>
      <c r="F121" s="130"/>
      <c r="G121" s="56"/>
      <c r="H121" s="56"/>
    </row>
    <row r="122" spans="4:8" x14ac:dyDescent="0.25">
      <c r="D122" s="26"/>
      <c r="E122" s="132"/>
      <c r="F122" s="56"/>
    </row>
    <row r="123" spans="4:8" x14ac:dyDescent="0.25">
      <c r="D123" s="25"/>
      <c r="E123" s="132"/>
      <c r="F123" s="56"/>
    </row>
    <row r="124" spans="4:8" x14ac:dyDescent="0.25">
      <c r="D124" s="26"/>
      <c r="E124" s="132"/>
      <c r="F124" s="56"/>
    </row>
    <row r="125" spans="4:8" x14ac:dyDescent="0.25">
      <c r="D125" s="25"/>
      <c r="E125" s="132"/>
      <c r="F125" s="56"/>
    </row>
    <row r="126" spans="4:8" x14ac:dyDescent="0.25">
      <c r="D126" s="26"/>
      <c r="E126" s="56"/>
      <c r="F126" s="56"/>
    </row>
    <row r="127" spans="4:8" x14ac:dyDescent="0.25">
      <c r="D127" s="25"/>
      <c r="E127" s="56"/>
      <c r="F127" s="56"/>
    </row>
    <row r="128" spans="4:8" x14ac:dyDescent="0.25">
      <c r="D128" s="26"/>
      <c r="E128" s="56"/>
      <c r="F128" s="56"/>
    </row>
    <row r="129" spans="4:6" x14ac:dyDescent="0.25">
      <c r="D129" s="25"/>
      <c r="E129" s="56"/>
      <c r="F129" s="56"/>
    </row>
    <row r="130" spans="4:6" x14ac:dyDescent="0.25">
      <c r="D130" s="26"/>
      <c r="E130" s="56"/>
      <c r="F130" s="56"/>
    </row>
    <row r="131" spans="4:6" x14ac:dyDescent="0.25">
      <c r="D131" s="25"/>
      <c r="E131" s="56"/>
      <c r="F131" s="56"/>
    </row>
    <row r="132" spans="4:6" x14ac:dyDescent="0.25">
      <c r="D132" s="26"/>
      <c r="E132" s="56"/>
      <c r="F132" s="56"/>
    </row>
    <row r="133" spans="4:6" x14ac:dyDescent="0.25">
      <c r="D133" s="25"/>
      <c r="E133" s="56"/>
      <c r="F133" s="56"/>
    </row>
    <row r="134" spans="4:6" x14ac:dyDescent="0.25">
      <c r="D134" s="26"/>
      <c r="E134" s="56"/>
      <c r="F134" s="56"/>
    </row>
    <row r="135" spans="4:6" x14ac:dyDescent="0.25">
      <c r="D135" s="25"/>
      <c r="E135" s="56"/>
      <c r="F135" s="56"/>
    </row>
    <row r="136" spans="4:6" x14ac:dyDescent="0.25">
      <c r="D136" s="26"/>
      <c r="E136" s="56"/>
      <c r="F136" s="56"/>
    </row>
    <row r="137" spans="4:6" x14ac:dyDescent="0.25">
      <c r="D137" s="25"/>
      <c r="E137" s="56"/>
      <c r="F137" s="56"/>
    </row>
    <row r="138" spans="4:6" x14ac:dyDescent="0.25">
      <c r="D138" s="26"/>
      <c r="E138" s="56"/>
      <c r="F138" s="56"/>
    </row>
    <row r="139" spans="4:6" x14ac:dyDescent="0.25">
      <c r="D139" s="25"/>
      <c r="E139" s="56"/>
      <c r="F139" s="56"/>
    </row>
    <row r="140" spans="4:6" x14ac:dyDescent="0.25">
      <c r="D140" s="26"/>
      <c r="E140" s="56"/>
      <c r="F140" s="56"/>
    </row>
    <row r="141" spans="4:6" x14ac:dyDescent="0.25">
      <c r="D141" s="25"/>
      <c r="E141" s="56"/>
      <c r="F141" s="56"/>
    </row>
    <row r="142" spans="4:6" x14ac:dyDescent="0.25">
      <c r="D142" s="26"/>
      <c r="E142" s="56"/>
      <c r="F142" s="56"/>
    </row>
    <row r="143" spans="4:6" x14ac:dyDescent="0.25">
      <c r="D143" s="25"/>
      <c r="E143" s="56"/>
      <c r="F143" s="56"/>
    </row>
    <row r="144" spans="4:6" x14ac:dyDescent="0.25">
      <c r="D144" s="26"/>
      <c r="E144" s="56"/>
      <c r="F144" s="56"/>
    </row>
    <row r="145" spans="4:6" x14ac:dyDescent="0.25">
      <c r="D145" s="25"/>
      <c r="E145" s="56"/>
      <c r="F145" s="56"/>
    </row>
    <row r="146" spans="4:6" x14ac:dyDescent="0.25">
      <c r="D146" s="26"/>
      <c r="E146" s="132"/>
      <c r="F146" s="56"/>
    </row>
    <row r="147" spans="4:6" x14ac:dyDescent="0.25">
      <c r="D147" s="25"/>
      <c r="E147" s="132"/>
      <c r="F147" s="56"/>
    </row>
    <row r="148" spans="4:6" x14ac:dyDescent="0.25">
      <c r="D148" s="26"/>
      <c r="E148" s="132"/>
      <c r="F148" s="56"/>
    </row>
    <row r="149" spans="4:6" x14ac:dyDescent="0.25">
      <c r="D149" s="26"/>
      <c r="E149" s="132"/>
      <c r="F149" s="56"/>
    </row>
    <row r="150" spans="4:6" x14ac:dyDescent="0.25">
      <c r="D150" s="131"/>
      <c r="E150" s="56"/>
      <c r="F150" s="56"/>
    </row>
    <row r="151" spans="4:6" x14ac:dyDescent="0.25">
      <c r="D151" s="131"/>
      <c r="E151" s="56"/>
      <c r="F151" s="56"/>
    </row>
    <row r="152" spans="4:6" x14ac:dyDescent="0.25">
      <c r="D152" s="26"/>
      <c r="E152" s="132"/>
      <c r="F152" s="56"/>
    </row>
    <row r="153" spans="4:6" x14ac:dyDescent="0.25">
      <c r="D153" s="25"/>
      <c r="E153" s="132"/>
      <c r="F153" s="56"/>
    </row>
    <row r="154" spans="4:6" x14ac:dyDescent="0.25">
      <c r="D154" s="26"/>
      <c r="E154" s="132"/>
      <c r="F154" s="56"/>
    </row>
    <row r="155" spans="4:6" x14ac:dyDescent="0.25">
      <c r="D155" s="26"/>
      <c r="E155" s="132"/>
      <c r="F155" s="56"/>
    </row>
    <row r="156" spans="4:6" x14ac:dyDescent="0.25">
      <c r="D156" s="131"/>
      <c r="E156" s="56"/>
      <c r="F156" s="56"/>
    </row>
    <row r="157" spans="4:6" x14ac:dyDescent="0.25">
      <c r="D157" s="131"/>
      <c r="E157" s="56"/>
      <c r="F157" s="56"/>
    </row>
    <row r="158" spans="4:6" x14ac:dyDescent="0.25">
      <c r="D158" s="131"/>
      <c r="E158" s="56"/>
      <c r="F158" s="56"/>
    </row>
    <row r="159" spans="4:6" x14ac:dyDescent="0.25">
      <c r="D159" s="131"/>
      <c r="E159" s="56"/>
      <c r="F159" s="56"/>
    </row>
    <row r="160" spans="4:6" x14ac:dyDescent="0.25">
      <c r="D160" s="131"/>
      <c r="E160" s="56"/>
      <c r="F160" s="56"/>
    </row>
    <row r="161" spans="4:8" x14ac:dyDescent="0.25">
      <c r="D161" s="131"/>
      <c r="E161" s="56"/>
      <c r="F161" s="56"/>
    </row>
    <row r="162" spans="4:8" x14ac:dyDescent="0.25">
      <c r="D162" s="130"/>
      <c r="E162" s="130"/>
      <c r="F162" s="130"/>
      <c r="G162" s="63"/>
      <c r="H162" s="63"/>
    </row>
    <row r="163" spans="4:8" x14ac:dyDescent="0.25">
      <c r="D163" s="130"/>
      <c r="E163" s="130"/>
      <c r="F163" s="130"/>
      <c r="G163" s="63"/>
      <c r="H163" s="63"/>
    </row>
    <row r="164" spans="4:8" x14ac:dyDescent="0.25">
      <c r="D164" s="131"/>
      <c r="E164" s="132"/>
      <c r="F164" s="56"/>
    </row>
    <row r="165" spans="4:8" x14ac:dyDescent="0.25">
      <c r="D165" s="131"/>
      <c r="E165" s="132"/>
      <c r="F165" s="56"/>
    </row>
    <row r="166" spans="4:8" x14ac:dyDescent="0.25">
      <c r="D166" s="131"/>
      <c r="E166" s="132"/>
      <c r="F166" s="56"/>
    </row>
    <row r="167" spans="4:8" x14ac:dyDescent="0.25">
      <c r="D167" s="131"/>
      <c r="E167" s="132"/>
      <c r="F167" s="56"/>
    </row>
    <row r="168" spans="4:8" x14ac:dyDescent="0.25">
      <c r="D168" s="131"/>
      <c r="E168" s="132"/>
      <c r="F168" s="56"/>
    </row>
    <row r="169" spans="4:8" x14ac:dyDescent="0.25">
      <c r="D169" s="131"/>
      <c r="E169" s="132"/>
      <c r="F169" s="56"/>
    </row>
    <row r="170" spans="4:8" x14ac:dyDescent="0.25">
      <c r="D170" s="131"/>
      <c r="E170" s="56"/>
      <c r="F170" s="56"/>
    </row>
    <row r="171" spans="4:8" x14ac:dyDescent="0.25">
      <c r="D171" s="131"/>
      <c r="E171" s="56"/>
      <c r="F171" s="56"/>
    </row>
    <row r="172" spans="4:8" x14ac:dyDescent="0.25">
      <c r="D172" s="131"/>
      <c r="E172" s="56"/>
      <c r="F172" s="56"/>
    </row>
    <row r="173" spans="4:8" x14ac:dyDescent="0.25">
      <c r="D173" s="131"/>
      <c r="E173" s="56"/>
      <c r="F173" s="56"/>
    </row>
  </sheetData>
  <mergeCells count="185">
    <mergeCell ref="D170:D171"/>
    <mergeCell ref="E170:E171"/>
    <mergeCell ref="F170:F171"/>
    <mergeCell ref="D172:D173"/>
    <mergeCell ref="E172:E173"/>
    <mergeCell ref="F172:F173"/>
    <mergeCell ref="D166:D167"/>
    <mergeCell ref="E166:E167"/>
    <mergeCell ref="F166:F167"/>
    <mergeCell ref="D168:D169"/>
    <mergeCell ref="E168:E169"/>
    <mergeCell ref="F168:F169"/>
    <mergeCell ref="D162:F163"/>
    <mergeCell ref="G162:G163"/>
    <mergeCell ref="H162:H163"/>
    <mergeCell ref="D164:D165"/>
    <mergeCell ref="E164:E165"/>
    <mergeCell ref="F164:F165"/>
    <mergeCell ref="D158:D159"/>
    <mergeCell ref="E158:E159"/>
    <mergeCell ref="F158:F159"/>
    <mergeCell ref="D160:D161"/>
    <mergeCell ref="E160:E161"/>
    <mergeCell ref="F160:F161"/>
    <mergeCell ref="E152:E155"/>
    <mergeCell ref="F152:F155"/>
    <mergeCell ref="D156:D157"/>
    <mergeCell ref="E156:E157"/>
    <mergeCell ref="F156:F157"/>
    <mergeCell ref="E142:E145"/>
    <mergeCell ref="F142:F145"/>
    <mergeCell ref="E146:E149"/>
    <mergeCell ref="F146:F149"/>
    <mergeCell ref="D150:D151"/>
    <mergeCell ref="E150:E151"/>
    <mergeCell ref="F150:F151"/>
    <mergeCell ref="E130:E133"/>
    <mergeCell ref="F130:F133"/>
    <mergeCell ref="E134:E137"/>
    <mergeCell ref="F134:F137"/>
    <mergeCell ref="E138:E141"/>
    <mergeCell ref="F138:F141"/>
    <mergeCell ref="H120:H121"/>
    <mergeCell ref="E122:E125"/>
    <mergeCell ref="F122:F125"/>
    <mergeCell ref="E126:E129"/>
    <mergeCell ref="F126:F129"/>
    <mergeCell ref="D118:D119"/>
    <mergeCell ref="E118:E119"/>
    <mergeCell ref="F118:F119"/>
    <mergeCell ref="D120:F121"/>
    <mergeCell ref="G120:G121"/>
    <mergeCell ref="H112:H113"/>
    <mergeCell ref="D114:D115"/>
    <mergeCell ref="E114:E115"/>
    <mergeCell ref="F114:F115"/>
    <mergeCell ref="D116:D117"/>
    <mergeCell ref="E116:E117"/>
    <mergeCell ref="F116:F117"/>
    <mergeCell ref="D110:D111"/>
    <mergeCell ref="E110:E111"/>
    <mergeCell ref="F110:F111"/>
    <mergeCell ref="D112:F113"/>
    <mergeCell ref="G112:G113"/>
    <mergeCell ref="D106:D107"/>
    <mergeCell ref="E106:E107"/>
    <mergeCell ref="F106:F107"/>
    <mergeCell ref="D108:D109"/>
    <mergeCell ref="E108:E109"/>
    <mergeCell ref="F108:F109"/>
    <mergeCell ref="D102:F103"/>
    <mergeCell ref="G102:G103"/>
    <mergeCell ref="H102:H103"/>
    <mergeCell ref="D104:D105"/>
    <mergeCell ref="E104:E105"/>
    <mergeCell ref="F104:F105"/>
    <mergeCell ref="H96:H97"/>
    <mergeCell ref="D98:D99"/>
    <mergeCell ref="E98:E99"/>
    <mergeCell ref="F98:F99"/>
    <mergeCell ref="D100:D101"/>
    <mergeCell ref="E100:E101"/>
    <mergeCell ref="F100:F101"/>
    <mergeCell ref="D94:D95"/>
    <mergeCell ref="E94:E95"/>
    <mergeCell ref="F94:F95"/>
    <mergeCell ref="D96:F97"/>
    <mergeCell ref="G96:G97"/>
    <mergeCell ref="D90:F91"/>
    <mergeCell ref="G90:G91"/>
    <mergeCell ref="H90:H91"/>
    <mergeCell ref="D92:D93"/>
    <mergeCell ref="E92:E93"/>
    <mergeCell ref="F92:F93"/>
    <mergeCell ref="D86:D87"/>
    <mergeCell ref="E86:E87"/>
    <mergeCell ref="F86:F87"/>
    <mergeCell ref="D88:D89"/>
    <mergeCell ref="E88:E89"/>
    <mergeCell ref="F88:F89"/>
    <mergeCell ref="D82:D83"/>
    <mergeCell ref="E82:E83"/>
    <mergeCell ref="F82:F83"/>
    <mergeCell ref="D84:D85"/>
    <mergeCell ref="E84:E85"/>
    <mergeCell ref="F84:F85"/>
    <mergeCell ref="D78:D79"/>
    <mergeCell ref="E78:E79"/>
    <mergeCell ref="F78:F79"/>
    <mergeCell ref="D80:D81"/>
    <mergeCell ref="E80:E81"/>
    <mergeCell ref="F80:F81"/>
    <mergeCell ref="D74:F75"/>
    <mergeCell ref="G74:G75"/>
    <mergeCell ref="H74:H75"/>
    <mergeCell ref="D76:D77"/>
    <mergeCell ref="E76:E77"/>
    <mergeCell ref="F76:F77"/>
    <mergeCell ref="D70:D71"/>
    <mergeCell ref="E70:E71"/>
    <mergeCell ref="F70:F71"/>
    <mergeCell ref="D72:D73"/>
    <mergeCell ref="E72:E73"/>
    <mergeCell ref="F72:F73"/>
    <mergeCell ref="D66:D67"/>
    <mergeCell ref="E66:E67"/>
    <mergeCell ref="F66:F67"/>
    <mergeCell ref="D68:D69"/>
    <mergeCell ref="E68:E69"/>
    <mergeCell ref="F68:F69"/>
    <mergeCell ref="D62:D63"/>
    <mergeCell ref="E62:E63"/>
    <mergeCell ref="F62:F63"/>
    <mergeCell ref="D64:D65"/>
    <mergeCell ref="E64:E65"/>
    <mergeCell ref="F64:F65"/>
    <mergeCell ref="H56:H57"/>
    <mergeCell ref="D58:D59"/>
    <mergeCell ref="E58:E59"/>
    <mergeCell ref="F58:F59"/>
    <mergeCell ref="D60:D61"/>
    <mergeCell ref="E60:E61"/>
    <mergeCell ref="F60:F61"/>
    <mergeCell ref="D54:D55"/>
    <mergeCell ref="E54:E55"/>
    <mergeCell ref="F54:F55"/>
    <mergeCell ref="D56:F57"/>
    <mergeCell ref="G56:G57"/>
    <mergeCell ref="D50:D51"/>
    <mergeCell ref="E50:E51"/>
    <mergeCell ref="F50:F51"/>
    <mergeCell ref="D52:D53"/>
    <mergeCell ref="E52:E53"/>
    <mergeCell ref="F52:F53"/>
    <mergeCell ref="D46:D47"/>
    <mergeCell ref="E46:E47"/>
    <mergeCell ref="F46:F47"/>
    <mergeCell ref="D48:D49"/>
    <mergeCell ref="E48:E49"/>
    <mergeCell ref="F48:F49"/>
    <mergeCell ref="D42:D43"/>
    <mergeCell ref="E42:E43"/>
    <mergeCell ref="F42:F43"/>
    <mergeCell ref="D44:D45"/>
    <mergeCell ref="E44:E45"/>
    <mergeCell ref="F44:F45"/>
    <mergeCell ref="D40:D41"/>
    <mergeCell ref="E40:E41"/>
    <mergeCell ref="F40:F41"/>
    <mergeCell ref="D34:F35"/>
    <mergeCell ref="G34:G35"/>
    <mergeCell ref="H34:H35"/>
    <mergeCell ref="D36:D37"/>
    <mergeCell ref="E36:E37"/>
    <mergeCell ref="F36:F37"/>
    <mergeCell ref="H6:I6"/>
    <mergeCell ref="H15:I15"/>
    <mergeCell ref="B17:C17"/>
    <mergeCell ref="B1:C1"/>
    <mergeCell ref="B6:C6"/>
    <mergeCell ref="D6:E6"/>
    <mergeCell ref="F6:G6"/>
    <mergeCell ref="D38:F39"/>
    <mergeCell ref="G38:G39"/>
    <mergeCell ref="H38:H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BE1F-AC05-44CB-B96D-5C00A1FE99F4}">
  <dimension ref="B2:M11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13" x14ac:dyDescent="0.25">
      <c r="B2" s="121" t="s">
        <v>36</v>
      </c>
      <c r="C2" s="121"/>
      <c r="F2" s="121" t="s">
        <v>41</v>
      </c>
      <c r="G2" s="121"/>
    </row>
    <row r="3" spans="2:13" x14ac:dyDescent="0.25">
      <c r="B3" s="1" t="s">
        <v>37</v>
      </c>
      <c r="C3" s="1">
        <v>0.152</v>
      </c>
      <c r="F3" s="3" t="s">
        <v>42</v>
      </c>
      <c r="G3" s="3">
        <f>C5*C3*C7</f>
        <v>3.1084873563218389</v>
      </c>
      <c r="L3">
        <v>127.36</v>
      </c>
      <c r="M3">
        <f>L3/12</f>
        <v>10.613333333333333</v>
      </c>
    </row>
    <row r="4" spans="2:13" x14ac:dyDescent="0.25">
      <c r="B4" s="1" t="s">
        <v>9</v>
      </c>
      <c r="C4" s="1">
        <f>OneStop!C8</f>
        <v>0.35</v>
      </c>
      <c r="F4" s="3" t="s">
        <v>43</v>
      </c>
      <c r="G4" s="3">
        <v>10.55</v>
      </c>
      <c r="H4">
        <f>(C9-C8)*C5</f>
        <v>11.361430395913153</v>
      </c>
    </row>
    <row r="5" spans="2:13" x14ac:dyDescent="0.25">
      <c r="B5" s="3" t="s">
        <v>13</v>
      </c>
      <c r="C5" s="3">
        <f>OneStop!C12</f>
        <v>22.72286079182631</v>
      </c>
      <c r="F5" s="8" t="s">
        <v>44</v>
      </c>
      <c r="G5" s="8">
        <f>G4*G3</f>
        <v>32.794541609195406</v>
      </c>
    </row>
    <row r="6" spans="2:13" x14ac:dyDescent="0.25">
      <c r="B6" s="6" t="s">
        <v>38</v>
      </c>
      <c r="C6" s="6">
        <f>OneStop!I17</f>
        <v>1276.048851825519</v>
      </c>
      <c r="D6">
        <f>C6/2</f>
        <v>638.02442591275951</v>
      </c>
      <c r="F6" s="3" t="s">
        <v>50</v>
      </c>
      <c r="G6" s="3">
        <f>I6*C3*C7</f>
        <v>2.4117574316290131</v>
      </c>
      <c r="H6" t="s">
        <v>52</v>
      </c>
      <c r="I6">
        <f>C5-C5*((1-C4)/(0.5*OneStop!C11))*G9</f>
        <v>17.629805786761793</v>
      </c>
    </row>
    <row r="7" spans="2:13" x14ac:dyDescent="0.25">
      <c r="B7" s="2" t="s">
        <v>49</v>
      </c>
      <c r="C7" s="2">
        <v>0.9</v>
      </c>
      <c r="F7" s="3" t="s">
        <v>51</v>
      </c>
      <c r="G7" s="3">
        <f>(C9-C8)*I6</f>
        <v>8.8149028933808946</v>
      </c>
    </row>
    <row r="8" spans="2:13" x14ac:dyDescent="0.25">
      <c r="B8" s="2" t="s">
        <v>39</v>
      </c>
      <c r="C8" s="2">
        <v>0.2</v>
      </c>
      <c r="F8" s="8" t="s">
        <v>45</v>
      </c>
      <c r="G8" s="8">
        <f>G6*G7</f>
        <v>21.259407562199463</v>
      </c>
    </row>
    <row r="9" spans="2:13" x14ac:dyDescent="0.25">
      <c r="B9" s="2" t="s">
        <v>40</v>
      </c>
      <c r="C9" s="2">
        <v>0.7</v>
      </c>
      <c r="F9" s="7" t="s">
        <v>46</v>
      </c>
      <c r="G9" s="7">
        <v>25</v>
      </c>
      <c r="H9" t="s">
        <v>53</v>
      </c>
      <c r="I9">
        <f>OneStop!C11/2</f>
        <v>72.5</v>
      </c>
    </row>
    <row r="10" spans="2:13" x14ac:dyDescent="0.25">
      <c r="F10" s="6" t="s">
        <v>47</v>
      </c>
      <c r="G10" s="6">
        <f>1/3*G9*(G5+G8+SQRT(G5*G8))</f>
        <v>670.48627252903214</v>
      </c>
    </row>
    <row r="11" spans="2:13" x14ac:dyDescent="0.25">
      <c r="F11" s="3" t="s">
        <v>48</v>
      </c>
      <c r="G11" s="3">
        <f>(G9*(G5+2*SQRT(G5*G8)+3*G8))/(4*(G5+SQRT(G5*G8)+G8))</f>
        <v>11.603951480843545</v>
      </c>
    </row>
  </sheetData>
  <mergeCells count="2">
    <mergeCell ref="B2:C2"/>
    <mergeCell ref="F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56AE-2FE9-4CF3-8ED1-8E3D5B4CE26C}">
  <dimension ref="A1:AA28"/>
  <sheetViews>
    <sheetView workbookViewId="0">
      <selection activeCell="C16" sqref="C16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  <col min="15" max="15" width="13.28515625" bestFit="1" customWidth="1"/>
    <col min="19" max="19" width="11.28515625" bestFit="1" customWidth="1"/>
  </cols>
  <sheetData>
    <row r="1" spans="1:27" x14ac:dyDescent="0.25">
      <c r="A1" s="16" t="s">
        <v>75</v>
      </c>
      <c r="B1" s="1">
        <f>OneStop!I14</f>
        <v>241715</v>
      </c>
      <c r="C1" s="1"/>
    </row>
    <row r="2" spans="1:27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21" t="s">
        <v>83</v>
      </c>
      <c r="O2" s="22" t="s">
        <v>85</v>
      </c>
      <c r="S2" s="22" t="s">
        <v>91</v>
      </c>
      <c r="V2" t="s">
        <v>94</v>
      </c>
      <c r="W2" t="s">
        <v>95</v>
      </c>
      <c r="Z2" t="s">
        <v>99</v>
      </c>
    </row>
    <row r="3" spans="1:27" x14ac:dyDescent="0.25">
      <c r="A3" s="16" t="s">
        <v>77</v>
      </c>
      <c r="B3" s="1">
        <v>1.0592996544333899E-2</v>
      </c>
      <c r="C3" s="1">
        <f>B3*$B$1^1.195</f>
        <v>28712.210880734088</v>
      </c>
      <c r="F3" s="11" t="s">
        <v>60</v>
      </c>
      <c r="G3" s="18"/>
      <c r="H3" s="18"/>
      <c r="I3" s="18"/>
      <c r="L3">
        <f>C12/12</f>
        <v>250</v>
      </c>
      <c r="M3" t="s">
        <v>84</v>
      </c>
      <c r="O3">
        <f>B1/8</f>
        <v>30214.375</v>
      </c>
      <c r="P3" t="s">
        <v>86</v>
      </c>
      <c r="S3" t="s">
        <v>92</v>
      </c>
      <c r="T3">
        <f>0.08*225</f>
        <v>18</v>
      </c>
      <c r="V3">
        <f>T3/20</f>
        <v>0.9</v>
      </c>
      <c r="W3">
        <f>T3*0.3</f>
        <v>5.3999999999999995</v>
      </c>
      <c r="Z3">
        <f>24.5*94</f>
        <v>2303</v>
      </c>
    </row>
    <row r="4" spans="1:27" x14ac:dyDescent="0.25">
      <c r="A4" s="16" t="s">
        <v>71</v>
      </c>
      <c r="B4" s="1">
        <v>1757.81836450742</v>
      </c>
      <c r="C4" s="1">
        <f>B4*$B$1^0.235</f>
        <v>32363.117041280289</v>
      </c>
      <c r="F4" s="12" t="s">
        <v>61</v>
      </c>
      <c r="G4" s="19"/>
      <c r="H4" s="19"/>
      <c r="I4" s="19"/>
      <c r="O4" t="s">
        <v>88</v>
      </c>
      <c r="P4" t="s">
        <v>87</v>
      </c>
      <c r="S4" t="s">
        <v>93</v>
      </c>
      <c r="T4">
        <f>225-T3</f>
        <v>207</v>
      </c>
      <c r="V4">
        <f>T4/50</f>
        <v>4.1399999999999997</v>
      </c>
      <c r="W4">
        <f>T4*0.075</f>
        <v>15.524999999999999</v>
      </c>
      <c r="Z4">
        <f>(42-26)*(45.5+94)/2</f>
        <v>1116</v>
      </c>
    </row>
    <row r="5" spans="1:27" x14ac:dyDescent="0.25">
      <c r="A5" s="16" t="s">
        <v>72</v>
      </c>
      <c r="B5" s="1">
        <v>0.04</v>
      </c>
      <c r="C5" s="1">
        <f>B5*$B$1</f>
        <v>9668.6</v>
      </c>
      <c r="F5" s="13" t="s">
        <v>62</v>
      </c>
      <c r="G5" s="19"/>
      <c r="H5" s="18"/>
      <c r="I5" s="19"/>
      <c r="O5">
        <f>0.15*B1/2</f>
        <v>18128.625</v>
      </c>
      <c r="P5" t="s">
        <v>86</v>
      </c>
      <c r="V5">
        <f>SUM(V3:V4)</f>
        <v>5.04</v>
      </c>
      <c r="W5">
        <f>SUM(W3:W4)</f>
        <v>20.924999999999997</v>
      </c>
      <c r="Z5">
        <f>SUM(Z3:Z4)/12/12*42.3/12</f>
        <v>83.694270833333334</v>
      </c>
      <c r="AA5" t="s">
        <v>84</v>
      </c>
    </row>
    <row r="6" spans="1:27" x14ac:dyDescent="0.25">
      <c r="A6" s="16" t="s">
        <v>73</v>
      </c>
      <c r="B6" s="1">
        <v>1.84336913750245E-2</v>
      </c>
      <c r="C6" s="1">
        <f t="shared" ref="C6:C10" si="0">B6*$B$1</f>
        <v>4455.6997107140469</v>
      </c>
      <c r="F6" s="17" t="s">
        <v>63</v>
      </c>
      <c r="G6" s="18"/>
      <c r="H6" s="19"/>
      <c r="I6" s="18"/>
      <c r="O6" t="s">
        <v>89</v>
      </c>
      <c r="P6" t="s">
        <v>90</v>
      </c>
      <c r="Z6">
        <f>L3/Z5</f>
        <v>2.9870622864717191</v>
      </c>
      <c r="AA6" t="s">
        <v>100</v>
      </c>
    </row>
    <row r="7" spans="1:27" x14ac:dyDescent="0.25">
      <c r="A7" s="16" t="s">
        <v>54</v>
      </c>
      <c r="B7" s="1">
        <v>2.0832893203856801E-3</v>
      </c>
      <c r="C7" s="1">
        <f>B7*$B$1^1.195</f>
        <v>5646.7348065444066</v>
      </c>
      <c r="S7" t="s">
        <v>96</v>
      </c>
      <c r="T7">
        <f>(T4+T3)*2</f>
        <v>450</v>
      </c>
    </row>
    <row r="8" spans="1:27" x14ac:dyDescent="0.25">
      <c r="A8" s="16" t="s">
        <v>55</v>
      </c>
      <c r="B8" s="1">
        <v>9.2776140596026901E-2</v>
      </c>
      <c r="C8" s="1">
        <f t="shared" si="0"/>
        <v>22425.384824168643</v>
      </c>
      <c r="S8" t="s">
        <v>97</v>
      </c>
      <c r="T8">
        <v>110</v>
      </c>
      <c r="U8">
        <f>T8*2</f>
        <v>220</v>
      </c>
    </row>
    <row r="9" spans="1:27" x14ac:dyDescent="0.25">
      <c r="A9" s="16" t="s">
        <v>56</v>
      </c>
      <c r="B9" s="1">
        <v>3.5000000000000003E-2</v>
      </c>
      <c r="C9" s="1">
        <f>B9*$B$1+D9</f>
        <v>40130.025000000001</v>
      </c>
      <c r="D9">
        <v>31670</v>
      </c>
      <c r="S9" t="s">
        <v>98</v>
      </c>
      <c r="T9">
        <v>45</v>
      </c>
      <c r="U9">
        <f>(T7-U8)/T9</f>
        <v>5.1111111111111107</v>
      </c>
    </row>
    <row r="10" spans="1:27" x14ac:dyDescent="0.25">
      <c r="A10" s="16" t="s">
        <v>38</v>
      </c>
      <c r="B10" s="1">
        <f>OneStop!I12*1.0275</f>
        <v>0.27228750000000002</v>
      </c>
      <c r="C10" s="1">
        <f t="shared" si="0"/>
        <v>65815.973062500008</v>
      </c>
    </row>
    <row r="11" spans="1:27" x14ac:dyDescent="0.25">
      <c r="A11" s="16" t="s">
        <v>57</v>
      </c>
      <c r="B11" s="1">
        <v>51375</v>
      </c>
      <c r="C11" s="1">
        <f>B11</f>
        <v>51375</v>
      </c>
    </row>
    <row r="12" spans="1:27" x14ac:dyDescent="0.25">
      <c r="A12" s="16" t="s">
        <v>58</v>
      </c>
      <c r="B12" s="1"/>
      <c r="C12" s="1">
        <v>3000</v>
      </c>
      <c r="E12">
        <f>SUM(C3:C12)</f>
        <v>263592.74532594148</v>
      </c>
    </row>
    <row r="14" spans="1:27" x14ac:dyDescent="0.25">
      <c r="A14" s="8" t="s">
        <v>59</v>
      </c>
      <c r="B14" s="127" t="s">
        <v>60</v>
      </c>
      <c r="C14" s="127"/>
      <c r="D14" s="127"/>
      <c r="E14" s="126" t="s">
        <v>61</v>
      </c>
      <c r="F14" s="126"/>
      <c r="G14" s="126"/>
      <c r="H14" s="124" t="s">
        <v>62</v>
      </c>
      <c r="I14" s="124"/>
      <c r="J14" s="124"/>
      <c r="K14" s="125" t="s">
        <v>63</v>
      </c>
      <c r="L14" s="125"/>
      <c r="M14" s="125"/>
      <c r="N14" s="3"/>
      <c r="O14" s="3"/>
    </row>
    <row r="15" spans="1:27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168.3958168117644</v>
      </c>
      <c r="Q15">
        <f>O15-100</f>
        <v>68.395816811764405</v>
      </c>
      <c r="R15">
        <f>Q15*12</f>
        <v>820.74980174117286</v>
      </c>
    </row>
    <row r="16" spans="1:27" x14ac:dyDescent="0.25">
      <c r="A16" s="8" t="s">
        <v>77</v>
      </c>
      <c r="B16" s="2">
        <f t="shared" ref="B16:B25" si="1">C3</f>
        <v>28712.210880734088</v>
      </c>
      <c r="C16" s="2">
        <v>168.3</v>
      </c>
      <c r="D16" s="2">
        <f t="shared" ref="D16:D25" si="2">B16*C16</f>
        <v>4832265.0912275473</v>
      </c>
      <c r="E16" s="7">
        <f>B16</f>
        <v>28712.210880734088</v>
      </c>
      <c r="F16" s="7">
        <f>C16</f>
        <v>168.3</v>
      </c>
      <c r="G16" s="7">
        <f>E16*F16</f>
        <v>4832265.0912275473</v>
      </c>
      <c r="H16" s="6">
        <f>B16</f>
        <v>28712.210880734088</v>
      </c>
      <c r="I16" s="6">
        <f>F16</f>
        <v>168.3</v>
      </c>
      <c r="J16" s="6">
        <f>H16*I16</f>
        <v>4832265.0912275473</v>
      </c>
      <c r="K16" s="10">
        <f>B16</f>
        <v>28712.210880734088</v>
      </c>
      <c r="L16" s="10">
        <f>I16</f>
        <v>168.3</v>
      </c>
      <c r="M16" s="10">
        <f>K16*L16</f>
        <v>4832265.0912275473</v>
      </c>
      <c r="N16" s="12" t="s">
        <v>68</v>
      </c>
      <c r="O16" s="7">
        <f>G26/E26</f>
        <v>169.24446197865876</v>
      </c>
    </row>
    <row r="17" spans="1:15" x14ac:dyDescent="0.25">
      <c r="A17" s="8" t="s">
        <v>71</v>
      </c>
      <c r="B17" s="2">
        <f t="shared" si="1"/>
        <v>32363.117041280289</v>
      </c>
      <c r="C17" s="2">
        <f>100 + 0.4*OneStop!I8</f>
        <v>169.60000000000002</v>
      </c>
      <c r="D17" s="2">
        <f t="shared" si="2"/>
        <v>5488784.6502011381</v>
      </c>
      <c r="E17" s="7">
        <f t="shared" ref="E17:E22" si="3">B17</f>
        <v>32363.117041280289</v>
      </c>
      <c r="F17" s="7">
        <f t="shared" ref="F17:F25" si="4">C17</f>
        <v>169.60000000000002</v>
      </c>
      <c r="G17" s="7">
        <f t="shared" ref="G17:G25" si="5">E17*F17</f>
        <v>5488784.6502011381</v>
      </c>
      <c r="H17" s="6">
        <f>B17</f>
        <v>32363.117041280289</v>
      </c>
      <c r="I17" s="6">
        <f t="shared" ref="I17:I25" si="6">F17</f>
        <v>169.60000000000002</v>
      </c>
      <c r="J17" s="6">
        <f t="shared" ref="J17:J25" si="7">H17*I17</f>
        <v>5488784.6502011381</v>
      </c>
      <c r="K17" s="10">
        <f>B17</f>
        <v>32363.117041280289</v>
      </c>
      <c r="L17" s="10">
        <f t="shared" ref="L17:L25" si="8">I17</f>
        <v>169.60000000000002</v>
      </c>
      <c r="M17" s="10">
        <f t="shared" ref="M17:M25" si="9">K17*L17</f>
        <v>5488784.6502011381</v>
      </c>
      <c r="N17" s="13" t="s">
        <v>69</v>
      </c>
      <c r="O17" s="6">
        <f>J26/H26</f>
        <v>168.07281619460818</v>
      </c>
    </row>
    <row r="18" spans="1:15" x14ac:dyDescent="0.25">
      <c r="A18" s="8" t="s">
        <v>72</v>
      </c>
      <c r="B18" s="2">
        <f t="shared" si="1"/>
        <v>9668.6</v>
      </c>
      <c r="C18" s="2">
        <f>C16</f>
        <v>168.3</v>
      </c>
      <c r="D18" s="2">
        <f t="shared" si="2"/>
        <v>1627225.3800000001</v>
      </c>
      <c r="E18" s="7">
        <f t="shared" si="3"/>
        <v>9668.6</v>
      </c>
      <c r="F18" s="7">
        <f t="shared" si="4"/>
        <v>168.3</v>
      </c>
      <c r="G18" s="7">
        <f t="shared" si="5"/>
        <v>1627225.3800000001</v>
      </c>
      <c r="H18" s="6">
        <f t="shared" ref="H18:H23" si="10">B18</f>
        <v>9668.6</v>
      </c>
      <c r="I18" s="6">
        <f t="shared" si="6"/>
        <v>168.3</v>
      </c>
      <c r="J18" s="6">
        <f t="shared" si="7"/>
        <v>1627225.3800000001</v>
      </c>
      <c r="K18" s="10">
        <f t="shared" ref="K18:K25" si="11">B18</f>
        <v>9668.6</v>
      </c>
      <c r="L18" s="10">
        <f t="shared" si="8"/>
        <v>168.3</v>
      </c>
      <c r="M18" s="10">
        <f t="shared" si="9"/>
        <v>1627225.3800000001</v>
      </c>
      <c r="N18" s="14" t="s">
        <v>70</v>
      </c>
      <c r="O18" s="10">
        <f>M26/K26</f>
        <v>169.35282849544004</v>
      </c>
    </row>
    <row r="19" spans="1:15" x14ac:dyDescent="0.25">
      <c r="A19" s="8" t="s">
        <v>73</v>
      </c>
      <c r="B19" s="2">
        <f t="shared" si="1"/>
        <v>4455.6997107140469</v>
      </c>
      <c r="C19" s="2">
        <f>C16-16.3</f>
        <v>152</v>
      </c>
      <c r="D19" s="2">
        <f t="shared" si="2"/>
        <v>677266.35602853517</v>
      </c>
      <c r="E19" s="7">
        <f t="shared" si="3"/>
        <v>4455.6997107140469</v>
      </c>
      <c r="F19" s="7">
        <f t="shared" si="4"/>
        <v>152</v>
      </c>
      <c r="G19" s="7">
        <f t="shared" si="5"/>
        <v>677266.35602853517</v>
      </c>
      <c r="H19" s="6">
        <f t="shared" si="10"/>
        <v>4455.6997107140469</v>
      </c>
      <c r="I19" s="6">
        <f t="shared" si="6"/>
        <v>152</v>
      </c>
      <c r="J19" s="6">
        <f t="shared" si="7"/>
        <v>677266.35602853517</v>
      </c>
      <c r="K19" s="10">
        <f t="shared" si="11"/>
        <v>4455.6997107140469</v>
      </c>
      <c r="L19" s="10">
        <f t="shared" si="8"/>
        <v>152</v>
      </c>
      <c r="M19" s="10">
        <f t="shared" si="9"/>
        <v>677266.35602853517</v>
      </c>
      <c r="N19" s="3"/>
      <c r="O19" s="3"/>
    </row>
    <row r="20" spans="1:15" x14ac:dyDescent="0.25">
      <c r="A20" s="8" t="s">
        <v>54</v>
      </c>
      <c r="B20" s="2">
        <f t="shared" si="1"/>
        <v>5646.7348065444066</v>
      </c>
      <c r="C20" s="2">
        <f>100+OneStop!I8-11.57</f>
        <v>262.43</v>
      </c>
      <c r="D20" s="2">
        <f t="shared" si="2"/>
        <v>1481872.6152814487</v>
      </c>
      <c r="E20" s="7">
        <f t="shared" si="3"/>
        <v>5646.7348065444066</v>
      </c>
      <c r="F20" s="7">
        <f t="shared" si="4"/>
        <v>262.43</v>
      </c>
      <c r="G20" s="7">
        <f t="shared" si="5"/>
        <v>1481872.6152814487</v>
      </c>
      <c r="H20" s="6">
        <f t="shared" si="10"/>
        <v>5646.7348065444066</v>
      </c>
      <c r="I20" s="6">
        <f t="shared" si="6"/>
        <v>262.43</v>
      </c>
      <c r="J20" s="6">
        <f t="shared" si="7"/>
        <v>1481872.6152814487</v>
      </c>
      <c r="K20" s="10">
        <f t="shared" si="11"/>
        <v>5646.7348065444066</v>
      </c>
      <c r="L20" s="10">
        <f t="shared" si="8"/>
        <v>262.43</v>
      </c>
      <c r="M20" s="10">
        <f t="shared" si="9"/>
        <v>1481872.6152814487</v>
      </c>
      <c r="N20" s="3"/>
      <c r="O20" s="3"/>
    </row>
    <row r="21" spans="1:15" x14ac:dyDescent="0.25">
      <c r="A21" s="8" t="s">
        <v>55</v>
      </c>
      <c r="B21" s="2">
        <f t="shared" si="1"/>
        <v>22425.384824168643</v>
      </c>
      <c r="C21" s="2">
        <f>C19</f>
        <v>152</v>
      </c>
      <c r="D21" s="2">
        <f t="shared" si="2"/>
        <v>3408658.4932736335</v>
      </c>
      <c r="E21" s="7">
        <f t="shared" si="3"/>
        <v>22425.384824168643</v>
      </c>
      <c r="F21" s="7">
        <f t="shared" si="4"/>
        <v>152</v>
      </c>
      <c r="G21" s="7">
        <f t="shared" si="5"/>
        <v>3408658.4932736335</v>
      </c>
      <c r="H21" s="6">
        <f t="shared" si="10"/>
        <v>22425.384824168643</v>
      </c>
      <c r="I21" s="6">
        <f t="shared" si="6"/>
        <v>152</v>
      </c>
      <c r="J21" s="6">
        <f t="shared" si="7"/>
        <v>3408658.4932736335</v>
      </c>
      <c r="K21" s="10">
        <f t="shared" si="11"/>
        <v>22425.384824168643</v>
      </c>
      <c r="L21" s="10">
        <f t="shared" si="8"/>
        <v>152</v>
      </c>
      <c r="M21" s="10">
        <f t="shared" si="9"/>
        <v>3408658.4932736335</v>
      </c>
      <c r="N21" s="3" t="s">
        <v>81</v>
      </c>
      <c r="O21">
        <f>C16-OneStop!C14*0.1</f>
        <v>167.07063496741659</v>
      </c>
    </row>
    <row r="22" spans="1:15" x14ac:dyDescent="0.25">
      <c r="A22" s="8" t="s">
        <v>56</v>
      </c>
      <c r="B22" s="2">
        <f t="shared" si="1"/>
        <v>40130.025000000001</v>
      </c>
      <c r="C22" s="2">
        <f>C16</f>
        <v>168.3</v>
      </c>
      <c r="D22" s="2">
        <f t="shared" si="2"/>
        <v>6753883.2075000005</v>
      </c>
      <c r="E22" s="7">
        <f t="shared" si="3"/>
        <v>40130.025000000001</v>
      </c>
      <c r="F22" s="7">
        <f t="shared" si="4"/>
        <v>168.3</v>
      </c>
      <c r="G22" s="7">
        <f t="shared" si="5"/>
        <v>6753883.2075000005</v>
      </c>
      <c r="H22" s="6">
        <f t="shared" si="10"/>
        <v>40130.025000000001</v>
      </c>
      <c r="I22" s="6">
        <f t="shared" si="6"/>
        <v>168.3</v>
      </c>
      <c r="J22" s="6">
        <f t="shared" si="7"/>
        <v>6753883.2075000005</v>
      </c>
      <c r="K22" s="10">
        <f t="shared" si="11"/>
        <v>40130.025000000001</v>
      </c>
      <c r="L22" s="10">
        <f t="shared" si="8"/>
        <v>168.3</v>
      </c>
      <c r="M22" s="10">
        <f t="shared" si="9"/>
        <v>6753883.2075000005</v>
      </c>
      <c r="N22" s="3" t="s">
        <v>82</v>
      </c>
      <c r="O22">
        <f>C16+OneStop!C14*0.1</f>
        <v>169.52936503258343</v>
      </c>
    </row>
    <row r="23" spans="1:15" x14ac:dyDescent="0.25">
      <c r="A23" s="8" t="s">
        <v>38</v>
      </c>
      <c r="B23" s="2">
        <f t="shared" si="1"/>
        <v>65815.973062500008</v>
      </c>
      <c r="C23" s="2">
        <f>C16-2.78</f>
        <v>165.52</v>
      </c>
      <c r="D23" s="2">
        <f t="shared" si="2"/>
        <v>10893859.861305002</v>
      </c>
      <c r="E23" s="7">
        <v>0</v>
      </c>
      <c r="F23" s="7">
        <f t="shared" si="4"/>
        <v>165.52</v>
      </c>
      <c r="G23" s="7">
        <f t="shared" si="5"/>
        <v>0</v>
      </c>
      <c r="H23" s="6">
        <f t="shared" si="10"/>
        <v>65815.973062500008</v>
      </c>
      <c r="I23" s="6">
        <f t="shared" si="6"/>
        <v>165.52</v>
      </c>
      <c r="J23" s="6">
        <f t="shared" si="7"/>
        <v>10893859.861305002</v>
      </c>
      <c r="K23" s="10">
        <v>0</v>
      </c>
      <c r="L23" s="10">
        <f t="shared" si="8"/>
        <v>165.52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51375</v>
      </c>
      <c r="C24" s="2">
        <f>C17</f>
        <v>169.60000000000002</v>
      </c>
      <c r="D24" s="2">
        <f t="shared" si="2"/>
        <v>8713200.0000000019</v>
      </c>
      <c r="E24" s="7">
        <v>0</v>
      </c>
      <c r="F24" s="7">
        <f t="shared" si="4"/>
        <v>169.60000000000002</v>
      </c>
      <c r="G24" s="7">
        <f t="shared" si="5"/>
        <v>0</v>
      </c>
      <c r="H24" s="6">
        <v>0</v>
      </c>
      <c r="I24" s="6">
        <f t="shared" si="6"/>
        <v>169.60000000000002</v>
      </c>
      <c r="J24" s="6">
        <f t="shared" si="7"/>
        <v>0</v>
      </c>
      <c r="K24" s="10">
        <f t="shared" si="11"/>
        <v>51375</v>
      </c>
      <c r="L24" s="10">
        <f t="shared" si="8"/>
        <v>169.60000000000002</v>
      </c>
      <c r="M24" s="10">
        <f t="shared" si="9"/>
        <v>8713200.0000000019</v>
      </c>
      <c r="N24" s="3"/>
      <c r="O24" s="3"/>
    </row>
    <row r="25" spans="1:15" x14ac:dyDescent="0.25">
      <c r="A25" s="8" t="s">
        <v>58</v>
      </c>
      <c r="B25" s="2">
        <f t="shared" si="1"/>
        <v>3000</v>
      </c>
      <c r="C25" s="2">
        <f>C16+2</f>
        <v>170.3</v>
      </c>
      <c r="D25" s="2">
        <f t="shared" si="2"/>
        <v>510900.00000000006</v>
      </c>
      <c r="E25" s="7">
        <v>0</v>
      </c>
      <c r="F25" s="7">
        <f t="shared" si="4"/>
        <v>170.3</v>
      </c>
      <c r="G25" s="7">
        <f t="shared" si="5"/>
        <v>0</v>
      </c>
      <c r="H25" s="6">
        <v>0</v>
      </c>
      <c r="I25" s="6">
        <f t="shared" si="6"/>
        <v>170.3</v>
      </c>
      <c r="J25" s="6">
        <f t="shared" si="7"/>
        <v>0</v>
      </c>
      <c r="K25" s="10">
        <f t="shared" si="11"/>
        <v>3000</v>
      </c>
      <c r="L25" s="10">
        <f t="shared" si="8"/>
        <v>170.3</v>
      </c>
      <c r="M25" s="10">
        <f t="shared" si="9"/>
        <v>510900.00000000006</v>
      </c>
      <c r="N25" s="3"/>
      <c r="O25" s="3"/>
    </row>
    <row r="26" spans="1:15" x14ac:dyDescent="0.25">
      <c r="A26" s="3" t="s">
        <v>74</v>
      </c>
      <c r="B26" s="15">
        <f>SUM(B16:B25)</f>
        <v>263592.74532594148</v>
      </c>
      <c r="C26" s="15"/>
      <c r="D26" s="15">
        <f>SUM(D16:D25)</f>
        <v>44387915.654817306</v>
      </c>
      <c r="E26" s="15">
        <f>SUM(E16:E25)</f>
        <v>143401.77226344147</v>
      </c>
      <c r="F26" s="15"/>
      <c r="G26" s="15">
        <f>SUM(G16:G25)</f>
        <v>24269955.793512303</v>
      </c>
      <c r="H26" s="15">
        <f>SUM(H16:H25)</f>
        <v>209217.74532594148</v>
      </c>
      <c r="I26" s="15"/>
      <c r="J26" s="15">
        <f>SUM(J16:J25)</f>
        <v>35163815.654817306</v>
      </c>
      <c r="K26" s="15">
        <f>SUM(K16:K25)</f>
        <v>197776.77226344147</v>
      </c>
      <c r="L26" s="15"/>
      <c r="M26" s="15">
        <f>SUM(M16:M25)</f>
        <v>33494055.793512307</v>
      </c>
      <c r="N26" s="9"/>
      <c r="O26" s="9"/>
    </row>
    <row r="27" spans="1:15" x14ac:dyDescent="0.25">
      <c r="B27" s="128" t="s">
        <v>80</v>
      </c>
      <c r="C27" s="129"/>
      <c r="D27" s="20">
        <f>C16-O15</f>
        <v>-9.5816811764393606E-2</v>
      </c>
    </row>
    <row r="28" spans="1:15" x14ac:dyDescent="0.25">
      <c r="C28">
        <f>C20-NonStop!E10</f>
        <v>158.98000000000002</v>
      </c>
    </row>
  </sheetData>
  <mergeCells count="5">
    <mergeCell ref="B14:D14"/>
    <mergeCell ref="E14:G14"/>
    <mergeCell ref="H14:J14"/>
    <mergeCell ref="K14:M14"/>
    <mergeCell ref="B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 Table</vt:lpstr>
      <vt:lpstr>NonStop</vt:lpstr>
      <vt:lpstr>NonStop Fuel Tank</vt:lpstr>
      <vt:lpstr>NonStop CG</vt:lpstr>
      <vt:lpstr>OneStop</vt:lpstr>
      <vt:lpstr>OneStop Fuel Tank</vt:lpstr>
      <vt:lpstr>OneStop 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2021-06-01T02:24:27Z</dcterms:modified>
</cp:coreProperties>
</file>