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D5A1727C-BE7B-4D75-A9B6-83D9E761692B}" xr6:coauthVersionLast="46" xr6:coauthVersionMax="46" xr10:uidLastSave="{00000000-0000-0000-0000-000000000000}"/>
  <bookViews>
    <workbookView xWindow="405" yWindow="5235" windowWidth="28800" windowHeight="15435" activeTab="2" xr2:uid="{00000000-000D-0000-FFFF-FFFF00000000}"/>
  </bookViews>
  <sheets>
    <sheet name="NonStop" sheetId="1" r:id="rId1"/>
    <sheet name="NonStop Fuel Tank" sheetId="3" r:id="rId2"/>
    <sheet name="NonStop CG" sheetId="4" r:id="rId3"/>
    <sheet name="OneSto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4" l="1"/>
  <c r="H26" i="4"/>
  <c r="E26" i="4"/>
  <c r="B26" i="4"/>
  <c r="D33" i="1"/>
  <c r="D32" i="1"/>
  <c r="D6" i="3"/>
  <c r="I9" i="3"/>
  <c r="I6" i="3" l="1"/>
  <c r="G7" i="3" s="1"/>
  <c r="G4" i="3"/>
  <c r="C4" i="3"/>
  <c r="C5" i="3"/>
  <c r="G3" i="3" s="1"/>
  <c r="C22" i="2"/>
  <c r="C23" i="2" s="1"/>
  <c r="C23" i="1"/>
  <c r="C22" i="1"/>
  <c r="C15" i="2"/>
  <c r="I13" i="2"/>
  <c r="I16" i="2" s="1"/>
  <c r="I17" i="2" s="1"/>
  <c r="C12" i="2"/>
  <c r="C14" i="2" s="1"/>
  <c r="E12" i="2" s="1"/>
  <c r="G11" i="2"/>
  <c r="E11" i="2"/>
  <c r="E10" i="2"/>
  <c r="G10" i="2" s="1"/>
  <c r="G12" i="2" s="1"/>
  <c r="C12" i="1"/>
  <c r="C14" i="1" s="1"/>
  <c r="E12" i="1" s="1"/>
  <c r="E10" i="1"/>
  <c r="G10" i="1" s="1"/>
  <c r="G12" i="1" s="1"/>
  <c r="G11" i="1"/>
  <c r="E11" i="1"/>
  <c r="C15" i="1"/>
  <c r="I13" i="1"/>
  <c r="I16" i="1" s="1"/>
  <c r="I17" i="1" s="1"/>
  <c r="C6" i="3" s="1"/>
  <c r="G6" i="3" l="1"/>
  <c r="G8" i="3" s="1"/>
  <c r="G5" i="3"/>
  <c r="C13" i="2"/>
  <c r="G13" i="1"/>
  <c r="G17" i="1" s="1"/>
  <c r="E13" i="1"/>
  <c r="E17" i="1" s="1"/>
  <c r="E13" i="2"/>
  <c r="E17" i="2" s="1"/>
  <c r="G13" i="2"/>
  <c r="G17" i="2" s="1"/>
  <c r="C13" i="1"/>
  <c r="G10" i="3" l="1"/>
  <c r="G11" i="3"/>
  <c r="G14" i="2"/>
  <c r="G16" i="2" s="1"/>
  <c r="G14" i="1"/>
  <c r="E14" i="1"/>
  <c r="E14" i="2"/>
  <c r="G15" i="2" l="1"/>
  <c r="G16" i="1"/>
  <c r="G15" i="1"/>
  <c r="E15" i="1"/>
  <c r="E16" i="1"/>
  <c r="E16" i="2"/>
  <c r="E15" i="2"/>
</calcChain>
</file>

<file path=xl/sharedStrings.xml><?xml version="1.0" encoding="utf-8"?>
<sst xmlns="http://schemas.openxmlformats.org/spreadsheetml/2006/main" count="167" uniqueCount="75">
  <si>
    <t>Constants</t>
  </si>
  <si>
    <t>Fuel Density (lbs/gal)</t>
  </si>
  <si>
    <t>Wing Sizing</t>
  </si>
  <si>
    <t>Horizontal Tail Sizing</t>
  </si>
  <si>
    <t>Vertical Tail Sizing</t>
  </si>
  <si>
    <t>Weight Calculations</t>
  </si>
  <si>
    <t>Fuel Weight and Density</t>
  </si>
  <si>
    <t>Engine Sizing</t>
  </si>
  <si>
    <t>AR</t>
  </si>
  <si>
    <t>Taper Ratio</t>
  </si>
  <si>
    <t>Sweep Angle</t>
  </si>
  <si>
    <t xml:space="preserve">S </t>
  </si>
  <si>
    <t>b</t>
  </si>
  <si>
    <t>Root Chord</t>
  </si>
  <si>
    <t>Tip Chord</t>
  </si>
  <si>
    <t>MAC</t>
  </si>
  <si>
    <t>Y bar</t>
  </si>
  <si>
    <t># Engines</t>
  </si>
  <si>
    <t>Fuselage Length</t>
  </si>
  <si>
    <t>Fuselage Width</t>
  </si>
  <si>
    <t>W_0</t>
  </si>
  <si>
    <t>W_f</t>
  </si>
  <si>
    <t>Wf/W_to</t>
  </si>
  <si>
    <t>Fuel Weight</t>
  </si>
  <si>
    <t>Fuel (Gal)</t>
  </si>
  <si>
    <t>Fuel (ft^3)</t>
  </si>
  <si>
    <t>Max Static Sea Level Thrust</t>
  </si>
  <si>
    <t>Bypass Ratio</t>
  </si>
  <si>
    <t>Fan Diameter (in)</t>
  </si>
  <si>
    <t>Engine Length (in)</t>
  </si>
  <si>
    <t>Nacell Diameter</t>
  </si>
  <si>
    <t>Nacell Length</t>
  </si>
  <si>
    <t>TOW</t>
  </si>
  <si>
    <t>Volume Coef</t>
  </si>
  <si>
    <t>Tail arm</t>
  </si>
  <si>
    <t>Tail Arm</t>
  </si>
  <si>
    <t>Wing Parameters</t>
  </si>
  <si>
    <t>t/c_avg</t>
  </si>
  <si>
    <t>Fuel</t>
  </si>
  <si>
    <t>Front Spar Location/Chord</t>
  </si>
  <si>
    <t>Rear Spar Location/Chord</t>
  </si>
  <si>
    <t>Rectangular Frustrum Parameter</t>
  </si>
  <si>
    <t>Base Height</t>
  </si>
  <si>
    <t>Base Width</t>
  </si>
  <si>
    <t>A1</t>
  </si>
  <si>
    <t>A2</t>
  </si>
  <si>
    <t>Length of Tank</t>
  </si>
  <si>
    <t>Vol of Tank</t>
  </si>
  <si>
    <t>Centroid Location</t>
  </si>
  <si>
    <t>Tank Height/(tc_avg)</t>
  </si>
  <si>
    <t>Tip Height</t>
  </si>
  <si>
    <t>Tip Width</t>
  </si>
  <si>
    <t>Fuel Tip Chord</t>
  </si>
  <si>
    <t>MAX LENGTH</t>
  </si>
  <si>
    <t>Tails</t>
  </si>
  <si>
    <t>PP</t>
  </si>
  <si>
    <t>Fixed Equip</t>
  </si>
  <si>
    <t>Passanger</t>
  </si>
  <si>
    <t>Cargo</t>
  </si>
  <si>
    <t>Component</t>
  </si>
  <si>
    <t>Design</t>
  </si>
  <si>
    <t>Empty</t>
  </si>
  <si>
    <t>Ferry</t>
  </si>
  <si>
    <t>Landing</t>
  </si>
  <si>
    <t>Weight</t>
  </si>
  <si>
    <t>Length</t>
  </si>
  <si>
    <t>Moment</t>
  </si>
  <si>
    <t>CG Design</t>
  </si>
  <si>
    <t>CG Empty</t>
  </si>
  <si>
    <t>CG Ferry</t>
  </si>
  <si>
    <t>CG Landing</t>
  </si>
  <si>
    <t>Fuselage</t>
  </si>
  <si>
    <t>Landing Gear</t>
  </si>
  <si>
    <t>Nacel + Pylon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</si>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</sst>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  <xf numFmtId="0" fontId="0" fillId="0" borderId="0" xfId="0" applyBorder="1"/>
    <xf numFmtId="0" fontId="0" fillId="6" borderId="1" xfId="0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3"/>
  <sheetViews>
    <sheetView workbookViewId="0">
      <selection activeCell="E10" sqref="E10"/>
    </sheetView>
  </sheetViews>
  <sheetFormatPr defaultRowHeight="15" x14ac:dyDescent="0.25"/>
  <cols>
    <col min="2" max="2" width="25.140625" bestFit="1" customWidth="1"/>
    <col min="3" max="3" width="7.7109375" bestFit="1" customWidth="1"/>
    <col min="4" max="4" width="19.5703125" bestFit="1" customWidth="1"/>
    <col min="6" max="6" width="17.28515625" bestFit="1" customWidth="1"/>
    <col min="8" max="8" width="23" bestFit="1" customWidth="1"/>
  </cols>
  <sheetData>
    <row r="1" spans="2:9" x14ac:dyDescent="0.25">
      <c r="B1" s="9" t="s">
        <v>0</v>
      </c>
      <c r="C1" s="9"/>
    </row>
    <row r="2" spans="2:9" x14ac:dyDescent="0.25">
      <c r="B2" s="8" t="s">
        <v>1</v>
      </c>
      <c r="C2" s="8">
        <v>6.71</v>
      </c>
    </row>
    <row r="6" spans="2:9" x14ac:dyDescent="0.25">
      <c r="B6" s="1" t="s">
        <v>2</v>
      </c>
      <c r="C6" s="1"/>
      <c r="D6" s="1" t="s">
        <v>3</v>
      </c>
      <c r="E6" s="1"/>
      <c r="F6" s="1" t="s">
        <v>4</v>
      </c>
      <c r="G6" s="5"/>
      <c r="H6" s="1" t="s">
        <v>5</v>
      </c>
      <c r="I6" s="1"/>
    </row>
    <row r="7" spans="2:9" x14ac:dyDescent="0.25">
      <c r="B7" s="2" t="s">
        <v>8</v>
      </c>
      <c r="C7" s="2">
        <v>7.9</v>
      </c>
      <c r="D7" s="3" t="s">
        <v>8</v>
      </c>
      <c r="E7" s="3">
        <v>4</v>
      </c>
      <c r="F7" s="3" t="s">
        <v>8</v>
      </c>
      <c r="G7" s="6">
        <v>1.6</v>
      </c>
      <c r="H7" s="2" t="s">
        <v>17</v>
      </c>
      <c r="I7" s="2">
        <v>4</v>
      </c>
    </row>
    <row r="8" spans="2:9" x14ac:dyDescent="0.25">
      <c r="B8" s="2" t="s">
        <v>9</v>
      </c>
      <c r="C8" s="2">
        <v>0.35</v>
      </c>
      <c r="D8" s="3" t="s">
        <v>9</v>
      </c>
      <c r="E8" s="3">
        <v>0.35</v>
      </c>
      <c r="F8" s="3" t="s">
        <v>9</v>
      </c>
      <c r="G8" s="6">
        <v>0.5</v>
      </c>
      <c r="H8" s="2" t="s">
        <v>18</v>
      </c>
      <c r="I8" s="2">
        <v>191</v>
      </c>
    </row>
    <row r="9" spans="2:9" x14ac:dyDescent="0.25">
      <c r="B9" s="2" t="s">
        <v>10</v>
      </c>
      <c r="C9" s="2">
        <v>37</v>
      </c>
      <c r="D9" s="3" t="s">
        <v>33</v>
      </c>
      <c r="E9" s="3">
        <v>1</v>
      </c>
      <c r="F9" s="3" t="s">
        <v>33</v>
      </c>
      <c r="G9" s="3">
        <v>7.9000000000000001E-2</v>
      </c>
      <c r="H9" s="2" t="s">
        <v>19</v>
      </c>
      <c r="I9" s="2">
        <v>14.4</v>
      </c>
    </row>
    <row r="10" spans="2:9" x14ac:dyDescent="0.25">
      <c r="B10" s="2" t="s">
        <v>11</v>
      </c>
      <c r="C10" s="2">
        <v>2196</v>
      </c>
      <c r="D10" s="3" t="s">
        <v>34</v>
      </c>
      <c r="E10" s="3">
        <f>C11/2</f>
        <v>66</v>
      </c>
      <c r="F10" s="3" t="s">
        <v>35</v>
      </c>
      <c r="G10" s="3">
        <f>E10</f>
        <v>66</v>
      </c>
      <c r="H10" s="2" t="s">
        <v>20</v>
      </c>
      <c r="I10" s="2"/>
    </row>
    <row r="11" spans="2:9" x14ac:dyDescent="0.25">
      <c r="B11" s="2" t="s">
        <v>12</v>
      </c>
      <c r="C11" s="2">
        <v>132</v>
      </c>
      <c r="D11" s="4" t="s">
        <v>10</v>
      </c>
      <c r="E11" s="4">
        <f>C9+5</f>
        <v>42</v>
      </c>
      <c r="F11" s="4" t="s">
        <v>10</v>
      </c>
      <c r="G11" s="7">
        <f>C9+5</f>
        <v>42</v>
      </c>
      <c r="H11" s="2" t="s">
        <v>21</v>
      </c>
      <c r="I11" s="2"/>
    </row>
    <row r="12" spans="2:9" x14ac:dyDescent="0.25">
      <c r="B12" s="4" t="s">
        <v>13</v>
      </c>
      <c r="C12" s="4">
        <f>2*C10/(C11*(1+C8))</f>
        <v>24.646464646464644</v>
      </c>
      <c r="D12" s="4" t="s">
        <v>11</v>
      </c>
      <c r="E12" s="4">
        <f>E9*C10*C14/E10</f>
        <v>443.67083421628877</v>
      </c>
      <c r="F12" s="4" t="s">
        <v>11</v>
      </c>
      <c r="G12" s="7">
        <f>G9*C10*C11/G10</f>
        <v>346.96800000000002</v>
      </c>
      <c r="H12" s="2" t="s">
        <v>22</v>
      </c>
      <c r="I12" s="2">
        <v>0.39560000000000001</v>
      </c>
    </row>
    <row r="13" spans="2:9" x14ac:dyDescent="0.25">
      <c r="B13" s="4" t="s">
        <v>14</v>
      </c>
      <c r="C13" s="4">
        <f>C8*C12</f>
        <v>8.6262626262626245</v>
      </c>
      <c r="D13" s="4" t="s">
        <v>12</v>
      </c>
      <c r="E13" s="4">
        <f>(E7*E12)^(1/2)</f>
        <v>42.126990598251318</v>
      </c>
      <c r="F13" s="4" t="s">
        <v>12</v>
      </c>
      <c r="G13" s="4">
        <f>(G7*G12)^(1/2)</f>
        <v>23.561595871247771</v>
      </c>
      <c r="H13" s="2" t="s">
        <v>23</v>
      </c>
      <c r="I13" s="2">
        <f>I14*I12</f>
        <v>130581.626</v>
      </c>
    </row>
    <row r="14" spans="2:9" x14ac:dyDescent="0.25">
      <c r="B14" s="4" t="s">
        <v>15</v>
      </c>
      <c r="C14" s="4">
        <f>2/3*C12*(1+C8-(C8/(1-C8)))</f>
        <v>13.334369334369335</v>
      </c>
      <c r="D14" s="4" t="s">
        <v>13</v>
      </c>
      <c r="E14" s="4">
        <f>2*E12/(E13*(1+E8))</f>
        <v>15.602589110463452</v>
      </c>
      <c r="F14" s="4" t="s">
        <v>13</v>
      </c>
      <c r="G14" s="4">
        <f>2*G12/(G13*(1+G8))</f>
        <v>19.634663226039809</v>
      </c>
      <c r="H14" s="2" t="s">
        <v>32</v>
      </c>
      <c r="I14" s="2">
        <v>330085</v>
      </c>
    </row>
    <row r="15" spans="2:9" x14ac:dyDescent="0.25">
      <c r="B15" s="4" t="s">
        <v>16</v>
      </c>
      <c r="C15" s="4">
        <f>C11/6*((1+2*C8)/(1+C8))</f>
        <v>27.703703703703699</v>
      </c>
      <c r="D15" s="4" t="s">
        <v>14</v>
      </c>
      <c r="E15" s="4">
        <f>E8*E14</f>
        <v>5.4609061886622081</v>
      </c>
      <c r="F15" s="4" t="s">
        <v>14</v>
      </c>
      <c r="G15" s="4">
        <f>G8*G14</f>
        <v>9.8173316130199044</v>
      </c>
      <c r="H15" s="1" t="s">
        <v>6</v>
      </c>
      <c r="I15" s="1"/>
    </row>
    <row r="16" spans="2:9" x14ac:dyDescent="0.25">
      <c r="D16" s="4" t="s">
        <v>15</v>
      </c>
      <c r="E16" s="4">
        <f>2/3*E14*(1+E8-(E8/(1-E8)))</f>
        <v>8.4414007751481765</v>
      </c>
      <c r="F16" s="4" t="s">
        <v>15</v>
      </c>
      <c r="G16" s="4">
        <f>2/3*G14*(1+G8-(G8/(1-G8)))</f>
        <v>6.5448877420132696</v>
      </c>
      <c r="H16" s="4" t="s">
        <v>24</v>
      </c>
      <c r="I16" s="4">
        <f>I13/C2</f>
        <v>19460.749031296575</v>
      </c>
    </row>
    <row r="17" spans="2:9" x14ac:dyDescent="0.25">
      <c r="B17" s="5" t="s">
        <v>7</v>
      </c>
      <c r="C17" s="10"/>
      <c r="D17" s="4" t="s">
        <v>16</v>
      </c>
      <c r="E17" s="4">
        <f>E13/6*((1+2*E8)/(1+E8))</f>
        <v>8.8414671625959542</v>
      </c>
      <c r="F17" s="4" t="s">
        <v>16</v>
      </c>
      <c r="G17" s="4">
        <f>G13/6*((1+2*G8)/(1+G8))</f>
        <v>5.235910193610616</v>
      </c>
      <c r="H17" s="4" t="s">
        <v>25</v>
      </c>
      <c r="I17" s="4">
        <f>I16/7.481</f>
        <v>2601.3566409967352</v>
      </c>
    </row>
    <row r="18" spans="2:9" x14ac:dyDescent="0.25">
      <c r="B18" s="2" t="s">
        <v>26</v>
      </c>
      <c r="C18" s="2"/>
    </row>
    <row r="19" spans="2:9" x14ac:dyDescent="0.25">
      <c r="B19" s="2" t="s">
        <v>27</v>
      </c>
      <c r="C19" s="2">
        <v>5</v>
      </c>
    </row>
    <row r="20" spans="2:9" x14ac:dyDescent="0.25">
      <c r="B20" s="8" t="s">
        <v>28</v>
      </c>
      <c r="C20" s="8"/>
    </row>
    <row r="21" spans="2:9" x14ac:dyDescent="0.25">
      <c r="B21" s="8" t="s">
        <v>29</v>
      </c>
      <c r="C21" s="8"/>
    </row>
    <row r="22" spans="2:9" x14ac:dyDescent="0.25">
      <c r="B22" s="4" t="s">
        <v>30</v>
      </c>
      <c r="C22" s="4">
        <f>1.1*C20</f>
        <v>0</v>
      </c>
    </row>
    <row r="23" spans="2:9" x14ac:dyDescent="0.25">
      <c r="B23" s="4" t="s">
        <v>31</v>
      </c>
      <c r="C23" s="4">
        <f>1.1*(0.7*C22+C21)</f>
        <v>0</v>
      </c>
    </row>
    <row r="32" spans="2:9" x14ac:dyDescent="0.25">
      <c r="D32">
        <f>0.258972298051553*235320</f>
        <v>60941.361177491446</v>
      </c>
    </row>
    <row r="33" spans="4:4" x14ac:dyDescent="0.25">
      <c r="D33">
        <f>0.417630430825357*370555</f>
        <v>154755.04429449016</v>
      </c>
    </row>
  </sheetData>
  <mergeCells count="7">
    <mergeCell ref="B17:C17"/>
    <mergeCell ref="B1:C1"/>
    <mergeCell ref="B6:C6"/>
    <mergeCell ref="D6:E6"/>
    <mergeCell ref="F6:G6"/>
    <mergeCell ref="H6:I6"/>
    <mergeCell ref="H15:I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D912-A53C-487A-A65A-E3576BE06716}">
  <dimension ref="B2:I11"/>
  <sheetViews>
    <sheetView workbookViewId="0">
      <selection activeCell="G10" sqref="G10"/>
    </sheetView>
  </sheetViews>
  <sheetFormatPr defaultRowHeight="15" x14ac:dyDescent="0.25"/>
  <cols>
    <col min="2" max="2" width="24.42578125" bestFit="1" customWidth="1"/>
    <col min="6" max="6" width="16.7109375" bestFit="1" customWidth="1"/>
    <col min="7" max="7" width="12.85546875" customWidth="1"/>
    <col min="8" max="8" width="13.85546875" bestFit="1" customWidth="1"/>
  </cols>
  <sheetData>
    <row r="2" spans="2:9" x14ac:dyDescent="0.25">
      <c r="B2" s="1" t="s">
        <v>36</v>
      </c>
      <c r="C2" s="1"/>
      <c r="F2" s="1" t="s">
        <v>41</v>
      </c>
      <c r="G2" s="1"/>
    </row>
    <row r="3" spans="2:9" x14ac:dyDescent="0.25">
      <c r="B3" s="2" t="s">
        <v>37</v>
      </c>
      <c r="C3" s="2">
        <v>0.13</v>
      </c>
      <c r="F3" s="4" t="s">
        <v>42</v>
      </c>
      <c r="G3" s="4">
        <f>C5*C3*C7</f>
        <v>2.8836363636363633</v>
      </c>
    </row>
    <row r="4" spans="2:9" x14ac:dyDescent="0.25">
      <c r="B4" s="2" t="s">
        <v>9</v>
      </c>
      <c r="C4" s="2">
        <f>NonStop!C8</f>
        <v>0.35</v>
      </c>
      <c r="F4" s="4" t="s">
        <v>43</v>
      </c>
      <c r="G4" s="4">
        <f>(C9-C8)*C5</f>
        <v>14.787878787878789</v>
      </c>
    </row>
    <row r="5" spans="2:9" x14ac:dyDescent="0.25">
      <c r="B5" s="4" t="s">
        <v>13</v>
      </c>
      <c r="C5" s="4">
        <f>NonStop!C12</f>
        <v>24.646464646464644</v>
      </c>
      <c r="F5" s="12" t="s">
        <v>44</v>
      </c>
      <c r="G5" s="12">
        <f>G4*G3</f>
        <v>42.642865013774106</v>
      </c>
    </row>
    <row r="6" spans="2:9" x14ac:dyDescent="0.25">
      <c r="B6" s="8" t="s">
        <v>38</v>
      </c>
      <c r="C6" s="8">
        <f>NonStop!I17</f>
        <v>2601.3566409967352</v>
      </c>
      <c r="D6">
        <f>C6/2</f>
        <v>1300.6783204983676</v>
      </c>
      <c r="F6" s="4" t="s">
        <v>50</v>
      </c>
      <c r="G6" s="4">
        <f>I6*C3*C7</f>
        <v>1.3330264462809915</v>
      </c>
      <c r="H6" t="s">
        <v>52</v>
      </c>
      <c r="I6">
        <f>C5-C5*((1-C4)/(0.5*NonStop!C11))*G9</f>
        <v>11.393388429752063</v>
      </c>
    </row>
    <row r="7" spans="2:9" x14ac:dyDescent="0.25">
      <c r="B7" s="3" t="s">
        <v>49</v>
      </c>
      <c r="C7" s="3">
        <v>0.9</v>
      </c>
      <c r="F7" s="4" t="s">
        <v>51</v>
      </c>
      <c r="G7" s="4">
        <f>(C9-C8)*I6</f>
        <v>6.8360330578512389</v>
      </c>
    </row>
    <row r="8" spans="2:9" x14ac:dyDescent="0.25">
      <c r="B8" s="3" t="s">
        <v>39</v>
      </c>
      <c r="C8" s="3">
        <v>0.2</v>
      </c>
      <c r="F8" s="12" t="s">
        <v>45</v>
      </c>
      <c r="G8" s="12">
        <f>G6*G7</f>
        <v>9.1126128537668176</v>
      </c>
    </row>
    <row r="9" spans="2:9" x14ac:dyDescent="0.25">
      <c r="B9" s="3" t="s">
        <v>40</v>
      </c>
      <c r="C9" s="3">
        <v>0.8</v>
      </c>
      <c r="F9" s="11" t="s">
        <v>46</v>
      </c>
      <c r="G9" s="11">
        <v>54.6</v>
      </c>
      <c r="H9" t="s">
        <v>53</v>
      </c>
      <c r="I9">
        <f>NonStop!C11/2</f>
        <v>66</v>
      </c>
    </row>
    <row r="10" spans="2:9" x14ac:dyDescent="0.25">
      <c r="F10" s="8" t="s">
        <v>47</v>
      </c>
      <c r="G10" s="8">
        <f>1/3*G9*(G5+G8+SQRT(G5*G8))</f>
        <v>1300.7196270464949</v>
      </c>
    </row>
    <row r="11" spans="2:9" x14ac:dyDescent="0.25">
      <c r="F11" s="4" t="s">
        <v>48</v>
      </c>
      <c r="G11" s="4">
        <f>(G3*(G5+2*SQRT(G5*G8)+3*G8))/(4*(G5+SQRT(G5*G8)+G8))</f>
        <v>1.1035937186671996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4BF3-F0E2-426F-B85D-934AF7746706}">
  <dimension ref="A7:O26"/>
  <sheetViews>
    <sheetView tabSelected="1" workbookViewId="0">
      <selection activeCell="O15" sqref="O15"/>
    </sheetView>
  </sheetViews>
  <sheetFormatPr defaultRowHeight="15" x14ac:dyDescent="0.25"/>
  <cols>
    <col min="1" max="1" width="12.85546875" bestFit="1" customWidth="1"/>
    <col min="2" max="2" width="7.42578125" bestFit="1" customWidth="1"/>
    <col min="3" max="3" width="7" bestFit="1" customWidth="1"/>
    <col min="4" max="4" width="8.5703125" bestFit="1" customWidth="1"/>
    <col min="5" max="5" width="7.42578125" bestFit="1" customWidth="1"/>
    <col min="6" max="6" width="7" bestFit="1" customWidth="1"/>
    <col min="7" max="7" width="8.5703125" bestFit="1" customWidth="1"/>
    <col min="8" max="8" width="7.42578125" bestFit="1" customWidth="1"/>
    <col min="9" max="9" width="7" bestFit="1" customWidth="1"/>
    <col min="10" max="10" width="8.5703125" bestFit="1" customWidth="1"/>
    <col min="11" max="11" width="7.42578125" bestFit="1" customWidth="1"/>
    <col min="12" max="12" width="7" bestFit="1" customWidth="1"/>
    <col min="13" max="13" width="8.5703125" bestFit="1" customWidth="1"/>
    <col min="14" max="14" width="10.7109375" bestFit="1" customWidth="1"/>
  </cols>
  <sheetData>
    <row r="7" spans="1:15" x14ac:dyDescent="0.25">
      <c r="A7" s="2" t="s">
        <v>54</v>
      </c>
      <c r="B7" s="2"/>
      <c r="C7" s="2"/>
    </row>
    <row r="8" spans="1:15" x14ac:dyDescent="0.25">
      <c r="A8" s="2" t="s">
        <v>55</v>
      </c>
      <c r="B8" s="2"/>
      <c r="C8" s="2"/>
    </row>
    <row r="9" spans="1:15" x14ac:dyDescent="0.25">
      <c r="A9" s="2" t="s">
        <v>56</v>
      </c>
      <c r="B9" s="2"/>
      <c r="C9" s="2"/>
    </row>
    <row r="10" spans="1:15" x14ac:dyDescent="0.25">
      <c r="A10" s="2" t="s">
        <v>38</v>
      </c>
      <c r="B10" s="2"/>
      <c r="C10" s="2"/>
    </row>
    <row r="11" spans="1:15" x14ac:dyDescent="0.25">
      <c r="A11" s="2" t="s">
        <v>57</v>
      </c>
      <c r="B11" s="2"/>
      <c r="C11" s="2"/>
    </row>
    <row r="12" spans="1:15" x14ac:dyDescent="0.25">
      <c r="A12" s="2" t="s">
        <v>58</v>
      </c>
      <c r="B12" s="2"/>
      <c r="C12" s="2"/>
    </row>
    <row r="14" spans="1:15" x14ac:dyDescent="0.25">
      <c r="A14" s="12" t="s">
        <v>59</v>
      </c>
      <c r="B14" s="15" t="s">
        <v>60</v>
      </c>
      <c r="C14" s="15"/>
      <c r="D14" s="15"/>
      <c r="E14" s="16" t="s">
        <v>61</v>
      </c>
      <c r="F14" s="16"/>
      <c r="G14" s="16"/>
      <c r="H14" s="9" t="s">
        <v>62</v>
      </c>
      <c r="I14" s="9"/>
      <c r="J14" s="9"/>
      <c r="K14" s="17" t="s">
        <v>63</v>
      </c>
      <c r="L14" s="17"/>
      <c r="M14" s="17"/>
      <c r="N14" s="4"/>
      <c r="O14" s="4"/>
    </row>
    <row r="15" spans="1:15" x14ac:dyDescent="0.25">
      <c r="A15" s="4"/>
      <c r="B15" s="18" t="s">
        <v>64</v>
      </c>
      <c r="C15" s="18" t="s">
        <v>65</v>
      </c>
      <c r="D15" s="18" t="s">
        <v>66</v>
      </c>
      <c r="E15" s="19" t="s">
        <v>64</v>
      </c>
      <c r="F15" s="19" t="s">
        <v>65</v>
      </c>
      <c r="G15" s="19" t="s">
        <v>66</v>
      </c>
      <c r="H15" s="20" t="s">
        <v>64</v>
      </c>
      <c r="I15" s="20" t="s">
        <v>65</v>
      </c>
      <c r="J15" s="20" t="s">
        <v>66</v>
      </c>
      <c r="K15" s="21" t="s">
        <v>64</v>
      </c>
      <c r="L15" s="21" t="s">
        <v>65</v>
      </c>
      <c r="M15" s="21" t="s">
        <v>66</v>
      </c>
      <c r="N15" s="18" t="s">
        <v>67</v>
      </c>
      <c r="O15" s="3"/>
    </row>
    <row r="16" spans="1:15" x14ac:dyDescent="0.25">
      <c r="A16" s="4"/>
      <c r="B16" s="3"/>
      <c r="C16" s="3"/>
      <c r="D16" s="3"/>
      <c r="E16" s="11"/>
      <c r="F16" s="11"/>
      <c r="G16" s="11"/>
      <c r="H16" s="8"/>
      <c r="I16" s="8"/>
      <c r="J16" s="8"/>
      <c r="K16" s="14"/>
      <c r="L16" s="14"/>
      <c r="M16" s="14"/>
      <c r="N16" s="19" t="s">
        <v>68</v>
      </c>
      <c r="O16" s="11"/>
    </row>
    <row r="17" spans="1:15" x14ac:dyDescent="0.25">
      <c r="A17" s="4" t="s">
        <v>71</v>
      </c>
      <c r="B17" s="3"/>
      <c r="C17" s="3"/>
      <c r="D17" s="3"/>
      <c r="E17" s="11"/>
      <c r="F17" s="11"/>
      <c r="G17" s="11"/>
      <c r="H17" s="8"/>
      <c r="I17" s="8"/>
      <c r="J17" s="8"/>
      <c r="K17" s="14"/>
      <c r="L17" s="14"/>
      <c r="M17" s="14"/>
      <c r="N17" s="20" t="s">
        <v>69</v>
      </c>
      <c r="O17" s="8"/>
    </row>
    <row r="18" spans="1:15" x14ac:dyDescent="0.25">
      <c r="A18" s="4" t="s">
        <v>72</v>
      </c>
      <c r="B18" s="3"/>
      <c r="C18" s="3"/>
      <c r="D18" s="3"/>
      <c r="E18" s="11"/>
      <c r="F18" s="11"/>
      <c r="G18" s="11"/>
      <c r="H18" s="8"/>
      <c r="I18" s="8"/>
      <c r="J18" s="8"/>
      <c r="K18" s="14"/>
      <c r="L18" s="14"/>
      <c r="M18" s="14"/>
      <c r="N18" s="21" t="s">
        <v>70</v>
      </c>
      <c r="O18" s="14"/>
    </row>
    <row r="19" spans="1:15" x14ac:dyDescent="0.25">
      <c r="A19" s="4" t="s">
        <v>73</v>
      </c>
      <c r="B19" s="3"/>
      <c r="C19" s="3"/>
      <c r="D19" s="3"/>
      <c r="E19" s="11"/>
      <c r="F19" s="11"/>
      <c r="G19" s="11"/>
      <c r="H19" s="8"/>
      <c r="I19" s="8"/>
      <c r="J19" s="8"/>
      <c r="K19" s="14"/>
      <c r="L19" s="14"/>
      <c r="M19" s="14"/>
      <c r="N19" s="4"/>
      <c r="O19" s="4"/>
    </row>
    <row r="20" spans="1:15" x14ac:dyDescent="0.25">
      <c r="A20" s="4" t="s">
        <v>54</v>
      </c>
      <c r="B20" s="3"/>
      <c r="C20" s="3"/>
      <c r="D20" s="3"/>
      <c r="E20" s="11"/>
      <c r="F20" s="11"/>
      <c r="G20" s="11"/>
      <c r="H20" s="8"/>
      <c r="I20" s="8"/>
      <c r="J20" s="8"/>
      <c r="K20" s="14"/>
      <c r="L20" s="14"/>
      <c r="M20" s="14"/>
      <c r="N20" s="4"/>
      <c r="O20" s="4"/>
    </row>
    <row r="21" spans="1:15" x14ac:dyDescent="0.25">
      <c r="A21" s="4" t="s">
        <v>55</v>
      </c>
      <c r="B21" s="3"/>
      <c r="C21" s="3"/>
      <c r="D21" s="3"/>
      <c r="E21" s="11"/>
      <c r="F21" s="11"/>
      <c r="G21" s="11"/>
      <c r="H21" s="8"/>
      <c r="I21" s="8"/>
      <c r="J21" s="8"/>
      <c r="K21" s="14"/>
      <c r="L21" s="14"/>
      <c r="M21" s="14"/>
      <c r="N21" s="4"/>
      <c r="O21" s="4"/>
    </row>
    <row r="22" spans="1:15" x14ac:dyDescent="0.25">
      <c r="A22" s="4" t="s">
        <v>56</v>
      </c>
      <c r="B22" s="3"/>
      <c r="C22" s="3"/>
      <c r="D22" s="3"/>
      <c r="E22" s="11"/>
      <c r="F22" s="11"/>
      <c r="G22" s="11"/>
      <c r="H22" s="8"/>
      <c r="I22" s="8"/>
      <c r="J22" s="8"/>
      <c r="K22" s="14"/>
      <c r="L22" s="14"/>
      <c r="M22" s="14"/>
      <c r="N22" s="4"/>
      <c r="O22" s="4"/>
    </row>
    <row r="23" spans="1:15" x14ac:dyDescent="0.25">
      <c r="A23" s="4" t="s">
        <v>38</v>
      </c>
      <c r="B23" s="3"/>
      <c r="C23" s="3"/>
      <c r="D23" s="3"/>
      <c r="E23" s="11"/>
      <c r="F23" s="11"/>
      <c r="G23" s="11"/>
      <c r="H23" s="8"/>
      <c r="I23" s="8"/>
      <c r="J23" s="8"/>
      <c r="K23" s="14"/>
      <c r="L23" s="14"/>
      <c r="M23" s="14"/>
      <c r="N23" s="4"/>
      <c r="O23" s="4"/>
    </row>
    <row r="24" spans="1:15" x14ac:dyDescent="0.25">
      <c r="A24" s="4" t="s">
        <v>57</v>
      </c>
      <c r="B24" s="3"/>
      <c r="C24" s="3"/>
      <c r="D24" s="3"/>
      <c r="E24" s="11"/>
      <c r="F24" s="11"/>
      <c r="G24" s="11"/>
      <c r="H24" s="8"/>
      <c r="I24" s="8"/>
      <c r="J24" s="8"/>
      <c r="K24" s="14"/>
      <c r="L24" s="14"/>
      <c r="M24" s="14"/>
      <c r="N24" s="4"/>
      <c r="O24" s="4"/>
    </row>
    <row r="25" spans="1:15" x14ac:dyDescent="0.25">
      <c r="A25" s="4" t="s">
        <v>58</v>
      </c>
      <c r="B25" s="3"/>
      <c r="C25" s="3"/>
      <c r="D25" s="3"/>
      <c r="E25" s="11"/>
      <c r="F25" s="11"/>
      <c r="G25" s="11"/>
      <c r="H25" s="8"/>
      <c r="I25" s="8"/>
      <c r="J25" s="8"/>
      <c r="K25" s="14"/>
      <c r="L25" s="14"/>
      <c r="M25" s="14"/>
      <c r="N25" s="4"/>
      <c r="O25" s="4"/>
    </row>
    <row r="26" spans="1:15" x14ac:dyDescent="0.25">
      <c r="A26" s="4" t="s">
        <v>74</v>
      </c>
      <c r="B26" s="22">
        <f>SUM(B17:B25)</f>
        <v>0</v>
      </c>
      <c r="C26" s="22"/>
      <c r="D26" s="22"/>
      <c r="E26" s="22">
        <f>SUM(E17:E25)</f>
        <v>0</v>
      </c>
      <c r="F26" s="22"/>
      <c r="G26" s="22"/>
      <c r="H26" s="22">
        <f>SUM(H17:H25)</f>
        <v>0</v>
      </c>
      <c r="I26" s="22"/>
      <c r="J26" s="22"/>
      <c r="K26" s="22">
        <f>SUM(K17:K25)</f>
        <v>0</v>
      </c>
      <c r="L26" s="22"/>
      <c r="M26" s="22"/>
      <c r="N26" s="13"/>
      <c r="O26" s="13"/>
    </row>
  </sheetData>
  <mergeCells count="4">
    <mergeCell ref="K14:M14"/>
    <mergeCell ref="H14:J14"/>
    <mergeCell ref="E14:G14"/>
    <mergeCell ref="B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E652-37C4-4589-B874-AC1D71A06A20}">
  <dimension ref="B1:I23"/>
  <sheetViews>
    <sheetView workbookViewId="0">
      <selection activeCell="I12" sqref="I12"/>
    </sheetView>
  </sheetViews>
  <sheetFormatPr defaultRowHeight="15" x14ac:dyDescent="0.25"/>
  <cols>
    <col min="2" max="2" width="25.140625" bestFit="1" customWidth="1"/>
    <col min="3" max="3" width="7.7109375" bestFit="1" customWidth="1"/>
    <col min="4" max="4" width="19.5703125" bestFit="1" customWidth="1"/>
    <col min="6" max="6" width="17.28515625" bestFit="1" customWidth="1"/>
    <col min="8" max="8" width="23" bestFit="1" customWidth="1"/>
  </cols>
  <sheetData>
    <row r="1" spans="2:9" x14ac:dyDescent="0.25">
      <c r="B1" s="9" t="s">
        <v>0</v>
      </c>
      <c r="C1" s="9"/>
    </row>
    <row r="2" spans="2:9" x14ac:dyDescent="0.25">
      <c r="B2" s="8" t="s">
        <v>1</v>
      </c>
      <c r="C2" s="8">
        <v>6.71</v>
      </c>
    </row>
    <row r="6" spans="2:9" x14ac:dyDescent="0.25">
      <c r="B6" s="1" t="s">
        <v>2</v>
      </c>
      <c r="C6" s="1"/>
      <c r="D6" s="1" t="s">
        <v>3</v>
      </c>
      <c r="E6" s="1"/>
      <c r="F6" s="1" t="s">
        <v>4</v>
      </c>
      <c r="G6" s="5"/>
      <c r="H6" s="1" t="s">
        <v>5</v>
      </c>
      <c r="I6" s="1"/>
    </row>
    <row r="7" spans="2:9" x14ac:dyDescent="0.25">
      <c r="B7" s="2" t="s">
        <v>8</v>
      </c>
      <c r="C7" s="2">
        <v>9.5</v>
      </c>
      <c r="D7" s="3" t="s">
        <v>8</v>
      </c>
      <c r="E7" s="3">
        <v>4</v>
      </c>
      <c r="F7" s="3" t="s">
        <v>8</v>
      </c>
      <c r="G7" s="6">
        <v>1.6</v>
      </c>
      <c r="H7" s="2" t="s">
        <v>17</v>
      </c>
      <c r="I7" s="2">
        <v>2</v>
      </c>
    </row>
    <row r="8" spans="2:9" x14ac:dyDescent="0.25">
      <c r="B8" s="2" t="s">
        <v>9</v>
      </c>
      <c r="C8" s="2">
        <v>0.35</v>
      </c>
      <c r="D8" s="3" t="s">
        <v>9</v>
      </c>
      <c r="E8" s="3">
        <v>0.35</v>
      </c>
      <c r="F8" s="3" t="s">
        <v>9</v>
      </c>
      <c r="G8" s="6">
        <v>0.5</v>
      </c>
      <c r="H8" s="2" t="s">
        <v>18</v>
      </c>
      <c r="I8" s="2">
        <v>174</v>
      </c>
    </row>
    <row r="9" spans="2:9" x14ac:dyDescent="0.25">
      <c r="B9" s="2" t="s">
        <v>10</v>
      </c>
      <c r="C9" s="2">
        <v>31</v>
      </c>
      <c r="D9" s="3" t="s">
        <v>33</v>
      </c>
      <c r="E9" s="3">
        <v>1</v>
      </c>
      <c r="F9" s="3" t="s">
        <v>33</v>
      </c>
      <c r="G9" s="3">
        <v>7.9000000000000001E-2</v>
      </c>
      <c r="H9" s="2" t="s">
        <v>19</v>
      </c>
      <c r="I9" s="2">
        <v>14.7</v>
      </c>
    </row>
    <row r="10" spans="2:9" x14ac:dyDescent="0.25">
      <c r="B10" s="2" t="s">
        <v>11</v>
      </c>
      <c r="C10" s="2">
        <v>2052</v>
      </c>
      <c r="D10" s="3" t="s">
        <v>34</v>
      </c>
      <c r="E10" s="3">
        <f>C11/2</f>
        <v>69.5</v>
      </c>
      <c r="F10" s="3" t="s">
        <v>35</v>
      </c>
      <c r="G10" s="3">
        <f>E10</f>
        <v>69.5</v>
      </c>
      <c r="H10" s="2" t="s">
        <v>20</v>
      </c>
      <c r="I10" s="2"/>
    </row>
    <row r="11" spans="2:9" x14ac:dyDescent="0.25">
      <c r="B11" s="2" t="s">
        <v>12</v>
      </c>
      <c r="C11" s="2">
        <v>139</v>
      </c>
      <c r="D11" s="4" t="s">
        <v>10</v>
      </c>
      <c r="E11" s="4">
        <f>C9+5</f>
        <v>36</v>
      </c>
      <c r="F11" s="4" t="s">
        <v>10</v>
      </c>
      <c r="G11" s="7">
        <f>C9+5</f>
        <v>36</v>
      </c>
      <c r="H11" s="2" t="s">
        <v>21</v>
      </c>
      <c r="I11" s="2"/>
    </row>
    <row r="12" spans="2:9" x14ac:dyDescent="0.25">
      <c r="B12" s="4" t="s">
        <v>13</v>
      </c>
      <c r="C12" s="4">
        <f>2*C10/(C11*(1+C8))</f>
        <v>21.870503597122301</v>
      </c>
      <c r="D12" s="4" t="s">
        <v>11</v>
      </c>
      <c r="E12" s="4">
        <f>E9*C10*C14/E10</f>
        <v>349.35678596027435</v>
      </c>
      <c r="F12" s="4" t="s">
        <v>11</v>
      </c>
      <c r="G12" s="7">
        <f>G9*C10*C11/G10</f>
        <v>324.21600000000001</v>
      </c>
      <c r="H12" s="2" t="s">
        <v>22</v>
      </c>
      <c r="I12" s="2">
        <v>0.307</v>
      </c>
    </row>
    <row r="13" spans="2:9" x14ac:dyDescent="0.25">
      <c r="B13" s="4" t="s">
        <v>14</v>
      </c>
      <c r="C13" s="4">
        <f>C8*C12</f>
        <v>7.6546762589928052</v>
      </c>
      <c r="D13" s="4" t="s">
        <v>12</v>
      </c>
      <c r="E13" s="4">
        <f>(E7*E12)^(1/2)</f>
        <v>37.382176820526347</v>
      </c>
      <c r="F13" s="4" t="s">
        <v>12</v>
      </c>
      <c r="G13" s="4">
        <f>(G7*G12)^(1/2)</f>
        <v>22.775987355107134</v>
      </c>
      <c r="H13" s="2" t="s">
        <v>23</v>
      </c>
      <c r="I13" s="2">
        <f>I14*I12</f>
        <v>91877.425000000003</v>
      </c>
    </row>
    <row r="14" spans="2:9" x14ac:dyDescent="0.25">
      <c r="B14" s="4" t="s">
        <v>15</v>
      </c>
      <c r="C14" s="4">
        <f>2/3*C12*(1+C8-(C8/(1-C8)))</f>
        <v>11.832503228186681</v>
      </c>
      <c r="D14" s="4" t="s">
        <v>13</v>
      </c>
      <c r="E14" s="4">
        <f>2*E12/(E13*(1+E8))</f>
        <v>13.845250674269018</v>
      </c>
      <c r="F14" s="4" t="s">
        <v>13</v>
      </c>
      <c r="G14" s="4">
        <f>2*G12/(G13*(1+G8))</f>
        <v>18.979989462589277</v>
      </c>
      <c r="H14" s="2" t="s">
        <v>32</v>
      </c>
      <c r="I14" s="2">
        <v>299275</v>
      </c>
    </row>
    <row r="15" spans="2:9" x14ac:dyDescent="0.25">
      <c r="B15" s="4" t="s">
        <v>16</v>
      </c>
      <c r="C15" s="4">
        <f>C11/6*((1+2*C8)/(1+C8))</f>
        <v>29.172839506172838</v>
      </c>
      <c r="D15" s="4" t="s">
        <v>14</v>
      </c>
      <c r="E15" s="4">
        <f>E8*E14</f>
        <v>4.8458377359941558</v>
      </c>
      <c r="F15" s="4" t="s">
        <v>14</v>
      </c>
      <c r="G15" s="4">
        <f>G8*G14</f>
        <v>9.4899947312946384</v>
      </c>
      <c r="H15" s="1" t="s">
        <v>6</v>
      </c>
      <c r="I15" s="1"/>
    </row>
    <row r="16" spans="2:9" x14ac:dyDescent="0.25">
      <c r="D16" s="4" t="s">
        <v>15</v>
      </c>
      <c r="E16" s="4">
        <f>2/3*E14*(1+E8-(E8/(1-E8)))</f>
        <v>7.490635621207085</v>
      </c>
      <c r="F16" s="4" t="s">
        <v>15</v>
      </c>
      <c r="G16" s="4">
        <f>2/3*G14*(1+G8-(G8/(1-G8)))</f>
        <v>6.3266631541964253</v>
      </c>
      <c r="H16" s="4" t="s">
        <v>24</v>
      </c>
      <c r="I16" s="4">
        <f>I13/C2</f>
        <v>13692.61177347243</v>
      </c>
    </row>
    <row r="17" spans="2:9" x14ac:dyDescent="0.25">
      <c r="B17" s="5" t="s">
        <v>7</v>
      </c>
      <c r="C17" s="10"/>
      <c r="D17" s="4" t="s">
        <v>16</v>
      </c>
      <c r="E17" s="4">
        <f>E13/6*((1+2*E8)/(1+E8))</f>
        <v>7.8456420487524428</v>
      </c>
      <c r="F17" s="4" t="s">
        <v>16</v>
      </c>
      <c r="G17" s="4">
        <f>G13/6*((1+2*G8)/(1+G8))</f>
        <v>5.0613305233571406</v>
      </c>
      <c r="H17" s="4" t="s">
        <v>25</v>
      </c>
      <c r="I17" s="4">
        <f>I16/7.481</f>
        <v>1830.3183763497434</v>
      </c>
    </row>
    <row r="18" spans="2:9" x14ac:dyDescent="0.25">
      <c r="B18" s="2" t="s">
        <v>26</v>
      </c>
      <c r="C18" s="2"/>
    </row>
    <row r="19" spans="2:9" x14ac:dyDescent="0.25">
      <c r="B19" s="2" t="s">
        <v>27</v>
      </c>
      <c r="C19" s="2">
        <v>5</v>
      </c>
    </row>
    <row r="20" spans="2:9" x14ac:dyDescent="0.25">
      <c r="B20" s="8" t="s">
        <v>28</v>
      </c>
      <c r="C20" s="8"/>
    </row>
    <row r="21" spans="2:9" x14ac:dyDescent="0.25">
      <c r="B21" s="8" t="s">
        <v>29</v>
      </c>
      <c r="C21" s="8"/>
    </row>
    <row r="22" spans="2:9" x14ac:dyDescent="0.25">
      <c r="B22" s="4" t="s">
        <v>30</v>
      </c>
      <c r="C22" s="4">
        <f>1.1*C20</f>
        <v>0</v>
      </c>
    </row>
    <row r="23" spans="2:9" x14ac:dyDescent="0.25">
      <c r="B23" s="4" t="s">
        <v>31</v>
      </c>
      <c r="C23" s="4">
        <f>1.1*(0.7*C22+C21)</f>
        <v>0</v>
      </c>
    </row>
  </sheetData>
  <mergeCells count="7">
    <mergeCell ref="B17:C17"/>
    <mergeCell ref="B1:C1"/>
    <mergeCell ref="B6:C6"/>
    <mergeCell ref="D6:E6"/>
    <mergeCell ref="F6:G6"/>
    <mergeCell ref="H6:I6"/>
    <mergeCell ref="H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NonStop</vt:lpstr>
      <vt:lpstr>NonStop Fuel Tank</vt:lpstr>
      <vt:lpstr>NonStop CG</vt:lpstr>
      <vt:lpstr>OneStop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2021-05-07T22:40:01Z</dcterms:modified>
</cp:coreProperties>
</file>