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Tommy Slagle\Documents\MAE136-MAE158-MAE159_Aircraft_Design_and_Analysis_Course_Series\MAE 159\Other data\"/>
    </mc:Choice>
  </mc:AlternateContent>
  <xr:revisionPtr revIDLastSave="0" documentId="13_ncr:1_{B576DF93-BD23-44EA-B583-3A9AFAFCC00F}" xr6:coauthVersionLast="46" xr6:coauthVersionMax="46" xr10:uidLastSave="{00000000-0000-0000-0000-000000000000}"/>
  <bookViews>
    <workbookView xWindow="-120" yWindow="-120" windowWidth="38640" windowHeight="21240" activeTab="5" xr2:uid="{00000000-000D-0000-FFFF-FFFF00000000}"/>
  </bookViews>
  <sheets>
    <sheet name="NonStop" sheetId="1" r:id="rId1"/>
    <sheet name="NonStop Fuel Tank" sheetId="3" r:id="rId2"/>
    <sheet name="NonStop CG" sheetId="4" r:id="rId3"/>
    <sheet name="OneStop" sheetId="2" r:id="rId4"/>
    <sheet name="OneStop Fuel Tank" sheetId="5" r:id="rId5"/>
    <sheet name="OneStop C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" l="1"/>
  <c r="L3" i="4"/>
  <c r="C23" i="6"/>
  <c r="C20" i="6"/>
  <c r="B10" i="6"/>
  <c r="C17" i="6"/>
  <c r="F17" i="6" s="1"/>
  <c r="I17" i="6" s="1"/>
  <c r="L17" i="6" s="1"/>
  <c r="B1" i="6"/>
  <c r="C8" i="6" s="1"/>
  <c r="B21" i="6" s="1"/>
  <c r="C28" i="6"/>
  <c r="C25" i="6"/>
  <c r="F25" i="6" s="1"/>
  <c r="I25" i="6" s="1"/>
  <c r="B25" i="6"/>
  <c r="F23" i="6"/>
  <c r="O22" i="6"/>
  <c r="C22" i="6"/>
  <c r="F22" i="6" s="1"/>
  <c r="I22" i="6" s="1"/>
  <c r="L22" i="6" s="1"/>
  <c r="O21" i="6"/>
  <c r="F20" i="6"/>
  <c r="I20" i="6" s="1"/>
  <c r="L20" i="6" s="1"/>
  <c r="C19" i="6"/>
  <c r="C21" i="6" s="1"/>
  <c r="F21" i="6" s="1"/>
  <c r="I21" i="6" s="1"/>
  <c r="L21" i="6" s="1"/>
  <c r="C18" i="6"/>
  <c r="F18" i="6" s="1"/>
  <c r="I18" i="6" s="1"/>
  <c r="L18" i="6" s="1"/>
  <c r="F16" i="6"/>
  <c r="I16" i="6" s="1"/>
  <c r="L16" i="6" s="1"/>
  <c r="C11" i="6"/>
  <c r="B24" i="6" s="1"/>
  <c r="C7" i="6"/>
  <c r="B20" i="6" s="1"/>
  <c r="C5" i="6"/>
  <c r="B18" i="6" s="1"/>
  <c r="C23" i="4"/>
  <c r="F23" i="4" s="1"/>
  <c r="G11" i="3"/>
  <c r="G11" i="5"/>
  <c r="O22" i="4"/>
  <c r="O21" i="4"/>
  <c r="K24" i="4"/>
  <c r="K26" i="4" s="1"/>
  <c r="H23" i="4"/>
  <c r="L24" i="4"/>
  <c r="L20" i="4"/>
  <c r="M20" i="4" s="1"/>
  <c r="L17" i="4"/>
  <c r="M17" i="4" s="1"/>
  <c r="J24" i="4"/>
  <c r="J20" i="4"/>
  <c r="J17" i="4"/>
  <c r="I24" i="4"/>
  <c r="I20" i="4"/>
  <c r="I17" i="4"/>
  <c r="K25" i="4"/>
  <c r="K22" i="4"/>
  <c r="K21" i="4"/>
  <c r="K20" i="4"/>
  <c r="K19" i="4"/>
  <c r="K18" i="4"/>
  <c r="K16" i="4"/>
  <c r="H22" i="4"/>
  <c r="H21" i="4"/>
  <c r="H20" i="4"/>
  <c r="H19" i="4"/>
  <c r="H18" i="4"/>
  <c r="H16" i="4"/>
  <c r="G24" i="4"/>
  <c r="G20" i="4"/>
  <c r="G17" i="4"/>
  <c r="F24" i="4"/>
  <c r="F20" i="4"/>
  <c r="F17" i="4"/>
  <c r="F16" i="4"/>
  <c r="G16" i="4" s="1"/>
  <c r="E22" i="4"/>
  <c r="E21" i="4"/>
  <c r="E20" i="4"/>
  <c r="E19" i="4"/>
  <c r="E18" i="4"/>
  <c r="E16" i="4"/>
  <c r="C28" i="4"/>
  <c r="C20" i="4"/>
  <c r="C25" i="4"/>
  <c r="F25" i="4" s="1"/>
  <c r="G25" i="4" s="1"/>
  <c r="B26" i="4"/>
  <c r="C11" i="4"/>
  <c r="B24" i="4" s="1"/>
  <c r="B10" i="4"/>
  <c r="C24" i="4"/>
  <c r="B18" i="4"/>
  <c r="B25" i="4"/>
  <c r="B22" i="4"/>
  <c r="B21" i="4"/>
  <c r="B19" i="4"/>
  <c r="B16" i="4"/>
  <c r="D20" i="4"/>
  <c r="B20" i="4"/>
  <c r="D17" i="4"/>
  <c r="C17" i="4"/>
  <c r="K17" i="4"/>
  <c r="H17" i="4"/>
  <c r="E17" i="4"/>
  <c r="B17" i="4"/>
  <c r="B1" i="4"/>
  <c r="C8" i="4" s="1"/>
  <c r="I6" i="3"/>
  <c r="I11" i="1"/>
  <c r="I11" i="2"/>
  <c r="I6" i="5"/>
  <c r="I9" i="5"/>
  <c r="C4" i="5"/>
  <c r="C5" i="5"/>
  <c r="C6" i="5"/>
  <c r="D6" i="5" s="1"/>
  <c r="G4" i="5"/>
  <c r="D33" i="1"/>
  <c r="D32" i="1"/>
  <c r="I9" i="3"/>
  <c r="D25" i="6" l="1"/>
  <c r="K25" i="6"/>
  <c r="C24" i="6"/>
  <c r="F24" i="6" s="1"/>
  <c r="C10" i="6"/>
  <c r="B23" i="6" s="1"/>
  <c r="D23" i="6" s="1"/>
  <c r="C6" i="6"/>
  <c r="B19" i="6" s="1"/>
  <c r="D19" i="6" s="1"/>
  <c r="D18" i="6"/>
  <c r="H18" i="6"/>
  <c r="J18" i="6" s="1"/>
  <c r="E18" i="6"/>
  <c r="G18" i="6" s="1"/>
  <c r="K18" i="6"/>
  <c r="M18" i="6" s="1"/>
  <c r="G24" i="6"/>
  <c r="I24" i="6"/>
  <c r="I23" i="6"/>
  <c r="L23" i="6" s="1"/>
  <c r="M23" i="6" s="1"/>
  <c r="G23" i="6"/>
  <c r="H19" i="6"/>
  <c r="E19" i="6"/>
  <c r="E20" i="6"/>
  <c r="G20" i="6" s="1"/>
  <c r="H20" i="6"/>
  <c r="J20" i="6" s="1"/>
  <c r="D20" i="6"/>
  <c r="K20" i="6"/>
  <c r="M20" i="6" s="1"/>
  <c r="H21" i="6"/>
  <c r="J21" i="6" s="1"/>
  <c r="K21" i="6"/>
  <c r="M21" i="6" s="1"/>
  <c r="E21" i="6"/>
  <c r="G21" i="6" s="1"/>
  <c r="D21" i="6"/>
  <c r="L25" i="6"/>
  <c r="M25" i="6" s="1"/>
  <c r="J25" i="6"/>
  <c r="D24" i="6"/>
  <c r="K24" i="6"/>
  <c r="G25" i="6"/>
  <c r="C9" i="6"/>
  <c r="B22" i="6" s="1"/>
  <c r="F19" i="6"/>
  <c r="I19" i="6" s="1"/>
  <c r="L19" i="6" s="1"/>
  <c r="C3" i="6"/>
  <c r="C4" i="6"/>
  <c r="B17" i="6" s="1"/>
  <c r="I16" i="4"/>
  <c r="I25" i="4"/>
  <c r="I23" i="4"/>
  <c r="L23" i="4" s="1"/>
  <c r="M23" i="4" s="1"/>
  <c r="G23" i="4"/>
  <c r="J23" i="4"/>
  <c r="M24" i="4"/>
  <c r="H26" i="4"/>
  <c r="E26" i="4"/>
  <c r="D24" i="4"/>
  <c r="C19" i="4"/>
  <c r="F19" i="4" s="1"/>
  <c r="D16" i="4"/>
  <c r="C18" i="4"/>
  <c r="D25" i="4"/>
  <c r="C22" i="4"/>
  <c r="C3" i="4"/>
  <c r="C9" i="4"/>
  <c r="C5" i="4"/>
  <c r="C10" i="4"/>
  <c r="B23" i="4" s="1"/>
  <c r="C7" i="4"/>
  <c r="C6" i="4"/>
  <c r="C4" i="4"/>
  <c r="G3" i="5"/>
  <c r="C4" i="3"/>
  <c r="C22" i="2"/>
  <c r="C23" i="2" s="1"/>
  <c r="C22" i="1"/>
  <c r="C23" i="1" s="1"/>
  <c r="C15" i="2"/>
  <c r="I13" i="2"/>
  <c r="I16" i="2" s="1"/>
  <c r="I17" i="2" s="1"/>
  <c r="C12" i="2"/>
  <c r="C14" i="2" s="1"/>
  <c r="E12" i="2" s="1"/>
  <c r="G11" i="2"/>
  <c r="E11" i="2"/>
  <c r="E10" i="2"/>
  <c r="G10" i="2" s="1"/>
  <c r="G12" i="2" s="1"/>
  <c r="C12" i="1"/>
  <c r="C14" i="1" s="1"/>
  <c r="G10" i="1"/>
  <c r="G12" i="1" s="1"/>
  <c r="G11" i="1"/>
  <c r="E11" i="1"/>
  <c r="C15" i="1"/>
  <c r="I13" i="1"/>
  <c r="I16" i="1" s="1"/>
  <c r="I17" i="1" s="1"/>
  <c r="C6" i="3" s="1"/>
  <c r="D6" i="3" s="1"/>
  <c r="G19" i="6" l="1"/>
  <c r="J19" i="6"/>
  <c r="K19" i="6"/>
  <c r="M19" i="6" s="1"/>
  <c r="H23" i="6"/>
  <c r="J23" i="6" s="1"/>
  <c r="E22" i="6"/>
  <c r="G22" i="6" s="1"/>
  <c r="D22" i="6"/>
  <c r="K22" i="6"/>
  <c r="M22" i="6" s="1"/>
  <c r="H22" i="6"/>
  <c r="J22" i="6" s="1"/>
  <c r="D17" i="6"/>
  <c r="K17" i="6"/>
  <c r="M17" i="6" s="1"/>
  <c r="H17" i="6"/>
  <c r="J17" i="6" s="1"/>
  <c r="E17" i="6"/>
  <c r="G17" i="6" s="1"/>
  <c r="E12" i="6"/>
  <c r="B16" i="6"/>
  <c r="J24" i="6"/>
  <c r="L24" i="6"/>
  <c r="M24" i="6" s="1"/>
  <c r="D22" i="4"/>
  <c r="F22" i="4"/>
  <c r="D18" i="4"/>
  <c r="F18" i="4"/>
  <c r="J25" i="4"/>
  <c r="L25" i="4"/>
  <c r="M25" i="4" s="1"/>
  <c r="G19" i="4"/>
  <c r="I19" i="4"/>
  <c r="L16" i="4"/>
  <c r="M16" i="4" s="1"/>
  <c r="J16" i="4"/>
  <c r="E12" i="4"/>
  <c r="D23" i="4"/>
  <c r="D19" i="4"/>
  <c r="C21" i="4"/>
  <c r="G7" i="5"/>
  <c r="G6" i="5"/>
  <c r="G5" i="5"/>
  <c r="E12" i="1"/>
  <c r="E13" i="1" s="1"/>
  <c r="E17" i="1" s="1"/>
  <c r="C5" i="3"/>
  <c r="C13" i="2"/>
  <c r="G13" i="1"/>
  <c r="G17" i="1" s="1"/>
  <c r="E13" i="2"/>
  <c r="E17" i="2" s="1"/>
  <c r="G13" i="2"/>
  <c r="G17" i="2" s="1"/>
  <c r="C13" i="1"/>
  <c r="B26" i="6" l="1"/>
  <c r="H16" i="6"/>
  <c r="E16" i="6"/>
  <c r="D16" i="6"/>
  <c r="D26" i="6" s="1"/>
  <c r="K16" i="6"/>
  <c r="L19" i="4"/>
  <c r="M19" i="4" s="1"/>
  <c r="J19" i="4"/>
  <c r="G22" i="4"/>
  <c r="I22" i="4"/>
  <c r="D21" i="4"/>
  <c r="D26" i="4" s="1"/>
  <c r="O15" i="4" s="1"/>
  <c r="F21" i="4"/>
  <c r="I18" i="4"/>
  <c r="G18" i="4"/>
  <c r="G8" i="5"/>
  <c r="G3" i="3"/>
  <c r="G4" i="3"/>
  <c r="G14" i="2"/>
  <c r="G16" i="2" s="1"/>
  <c r="G14" i="1"/>
  <c r="E14" i="1"/>
  <c r="E14" i="2"/>
  <c r="E26" i="6" l="1"/>
  <c r="G16" i="6"/>
  <c r="G26" i="6" s="1"/>
  <c r="J16" i="6"/>
  <c r="J26" i="6" s="1"/>
  <c r="H26" i="6"/>
  <c r="K26" i="6"/>
  <c r="M16" i="6"/>
  <c r="M26" i="6" s="1"/>
  <c r="O18" i="6" s="1"/>
  <c r="O15" i="6"/>
  <c r="D27" i="6" s="1"/>
  <c r="L18" i="4"/>
  <c r="M18" i="4" s="1"/>
  <c r="J18" i="4"/>
  <c r="G21" i="4"/>
  <c r="G26" i="4" s="1"/>
  <c r="O16" i="4" s="1"/>
  <c r="I21" i="4"/>
  <c r="L22" i="4"/>
  <c r="M22" i="4" s="1"/>
  <c r="J22" i="4"/>
  <c r="D27" i="4"/>
  <c r="G10" i="5"/>
  <c r="G5" i="3"/>
  <c r="G7" i="3"/>
  <c r="G6" i="3"/>
  <c r="G15" i="2"/>
  <c r="G16" i="1"/>
  <c r="G15" i="1"/>
  <c r="E15" i="1"/>
  <c r="E16" i="1"/>
  <c r="E16" i="2"/>
  <c r="E15" i="2"/>
  <c r="O16" i="6" l="1"/>
  <c r="O17" i="6"/>
  <c r="L21" i="4"/>
  <c r="M21" i="4" s="1"/>
  <c r="M26" i="4" s="1"/>
  <c r="O18" i="4" s="1"/>
  <c r="J21" i="4"/>
  <c r="J26" i="4" s="1"/>
  <c r="O17" i="4" s="1"/>
  <c r="G8" i="3"/>
  <c r="G10" i="3" s="1"/>
</calcChain>
</file>

<file path=xl/sharedStrings.xml><?xml version="1.0" encoding="utf-8"?>
<sst xmlns="http://schemas.openxmlformats.org/spreadsheetml/2006/main" count="266" uniqueCount="85">
  <si>
    <t>Constants</t>
  </si>
  <si>
    <t>Fuel Density (lbs/gal)</t>
  </si>
  <si>
    <t>Wing Sizing</t>
  </si>
  <si>
    <t>Horizontal Tail Sizing</t>
  </si>
  <si>
    <t>Vertical Tail Sizing</t>
  </si>
  <si>
    <t>Weight Calculations</t>
  </si>
  <si>
    <t>Fuel Weight and Density</t>
  </si>
  <si>
    <t>Engine Sizing</t>
  </si>
  <si>
    <t>AR</t>
  </si>
  <si>
    <t>Taper Ratio</t>
  </si>
  <si>
    <t>Sweep Angle</t>
  </si>
  <si>
    <t xml:space="preserve">S </t>
  </si>
  <si>
    <t>b</t>
  </si>
  <si>
    <t>Root Chord</t>
  </si>
  <si>
    <t>Tip Chord</t>
  </si>
  <si>
    <t>MAC</t>
  </si>
  <si>
    <t>Y bar</t>
  </si>
  <si>
    <t># Engines</t>
  </si>
  <si>
    <t>Fuselage Length</t>
  </si>
  <si>
    <t>Fuselage Width</t>
  </si>
  <si>
    <t>W_0</t>
  </si>
  <si>
    <t>W_f</t>
  </si>
  <si>
    <t>Wf/W_to</t>
  </si>
  <si>
    <t>Fuel Weight</t>
  </si>
  <si>
    <t>Fuel (Gal)</t>
  </si>
  <si>
    <t>Fuel (ft^3)</t>
  </si>
  <si>
    <t>Max Static Sea Level Thrust</t>
  </si>
  <si>
    <t>Bypass Ratio</t>
  </si>
  <si>
    <t>Fan Diameter (in)</t>
  </si>
  <si>
    <t>Engine Length (in)</t>
  </si>
  <si>
    <t>Nacell Diameter</t>
  </si>
  <si>
    <t>Nacell Length</t>
  </si>
  <si>
    <t>TOW</t>
  </si>
  <si>
    <t>Volume Coef</t>
  </si>
  <si>
    <t>Tail arm</t>
  </si>
  <si>
    <t>Tail Arm</t>
  </si>
  <si>
    <t>Wing Parameters</t>
  </si>
  <si>
    <t>t/c_avg</t>
  </si>
  <si>
    <t>Fuel</t>
  </si>
  <si>
    <t>Front Spar Location/Chord</t>
  </si>
  <si>
    <t>Rear Spar Location/Chord</t>
  </si>
  <si>
    <t>Rectangular Frustrum Parameter</t>
  </si>
  <si>
    <t>Base Height</t>
  </si>
  <si>
    <t>Base Width</t>
  </si>
  <si>
    <t>A1</t>
  </si>
  <si>
    <t>A2</t>
  </si>
  <si>
    <t>Length of Tank</t>
  </si>
  <si>
    <t>Vol of Tank</t>
  </si>
  <si>
    <t>Centroid Location</t>
  </si>
  <si>
    <t>Tank Height/(tc_avg)</t>
  </si>
  <si>
    <t>Tip Height</t>
  </si>
  <si>
    <t>Tip Width</t>
  </si>
  <si>
    <t>Fuel Tip Chord</t>
  </si>
  <si>
    <t>MAX LENGTH</t>
  </si>
  <si>
    <t>Tails</t>
  </si>
  <si>
    <t>PP</t>
  </si>
  <si>
    <t>Fixed Equip</t>
  </si>
  <si>
    <t>Passanger</t>
  </si>
  <si>
    <t>Cargo</t>
  </si>
  <si>
    <t>Component</t>
  </si>
  <si>
    <t>Design</t>
  </si>
  <si>
    <t>Empty</t>
  </si>
  <si>
    <t>Ferry</t>
  </si>
  <si>
    <t>Landing</t>
  </si>
  <si>
    <t>Weight</t>
  </si>
  <si>
    <t>Length</t>
  </si>
  <si>
    <t>Moment</t>
  </si>
  <si>
    <t>CG Design</t>
  </si>
  <si>
    <t>CG Empty</t>
  </si>
  <si>
    <t>CG Ferry</t>
  </si>
  <si>
    <t>CG Landing</t>
  </si>
  <si>
    <t>Fuselage</t>
  </si>
  <si>
    <t>Landing Gear</t>
  </si>
  <si>
    <t>Nacel + Pylon</t>
  </si>
  <si>
    <t>Sum</t>
  </si>
  <si>
    <t xml:space="preserve">TOGW </t>
  </si>
  <si>
    <t>COEFS</t>
  </si>
  <si>
    <t>Wing</t>
  </si>
  <si>
    <t>Configurations</t>
  </si>
  <si>
    <t>PAX</t>
  </si>
  <si>
    <t>delta 1/4 MAC</t>
  </si>
  <si>
    <t>Forward</t>
  </si>
  <si>
    <t>AFT</t>
  </si>
  <si>
    <t>Cargo Size</t>
  </si>
  <si>
    <t>ft^3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</si>
</sst>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0" borderId="1" xfId="0" applyBorder="1"/>
    <xf numFmtId="0" fontId="0" fillId="4" borderId="2" xfId="0" applyFill="1" applyBorder="1"/>
    <xf numFmtId="0" fontId="0" fillId="0" borderId="2" xfId="0" applyBorder="1"/>
    <xf numFmtId="0" fontId="0" fillId="3" borderId="1" xfId="0" applyFill="1" applyBorder="1"/>
    <xf numFmtId="0" fontId="0" fillId="5" borderId="1" xfId="0" applyFill="1" applyBorder="1"/>
    <xf numFmtId="0" fontId="1" fillId="0" borderId="1" xfId="0" applyFont="1" applyBorder="1"/>
    <xf numFmtId="0" fontId="0" fillId="0" borderId="0" xfId="0" applyBorder="1"/>
    <xf numFmtId="0" fontId="0" fillId="6" borderId="1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0" fillId="7" borderId="1" xfId="0" applyFill="1" applyBorder="1"/>
    <xf numFmtId="0" fontId="1" fillId="2" borderId="1" xfId="0" applyFont="1" applyFill="1" applyBorder="1"/>
    <xf numFmtId="0" fontId="1" fillId="8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3"/>
  <sheetViews>
    <sheetView workbookViewId="0">
      <selection activeCell="E14" sqref="E14"/>
    </sheetView>
  </sheetViews>
  <sheetFormatPr defaultRowHeight="15" x14ac:dyDescent="0.25"/>
  <cols>
    <col min="2" max="2" width="25.140625" bestFit="1" customWidth="1"/>
    <col min="3" max="3" width="7.7109375" bestFit="1" customWidth="1"/>
    <col min="4" max="4" width="19.5703125" bestFit="1" customWidth="1"/>
    <col min="6" max="6" width="17.28515625" bestFit="1" customWidth="1"/>
    <col min="8" max="8" width="23" bestFit="1" customWidth="1"/>
  </cols>
  <sheetData>
    <row r="1" spans="2:9" x14ac:dyDescent="0.25">
      <c r="B1" s="24" t="s">
        <v>0</v>
      </c>
      <c r="C1" s="24"/>
    </row>
    <row r="2" spans="2:9" x14ac:dyDescent="0.25">
      <c r="B2" s="6" t="s">
        <v>1</v>
      </c>
      <c r="C2" s="6">
        <v>6.71</v>
      </c>
    </row>
    <row r="6" spans="2:9" x14ac:dyDescent="0.25">
      <c r="B6" s="21" t="s">
        <v>2</v>
      </c>
      <c r="C6" s="21"/>
      <c r="D6" s="21" t="s">
        <v>3</v>
      </c>
      <c r="E6" s="21"/>
      <c r="F6" s="21" t="s">
        <v>4</v>
      </c>
      <c r="G6" s="22"/>
      <c r="H6" s="21" t="s">
        <v>5</v>
      </c>
      <c r="I6" s="21"/>
    </row>
    <row r="7" spans="2:9" x14ac:dyDescent="0.25">
      <c r="B7" s="1" t="s">
        <v>8</v>
      </c>
      <c r="C7" s="1">
        <v>7.9</v>
      </c>
      <c r="D7" s="2" t="s">
        <v>8</v>
      </c>
      <c r="E7" s="2">
        <v>4</v>
      </c>
      <c r="F7" s="2" t="s">
        <v>8</v>
      </c>
      <c r="G7" s="4">
        <v>1.6</v>
      </c>
      <c r="H7" s="1" t="s">
        <v>17</v>
      </c>
      <c r="I7" s="1">
        <v>2</v>
      </c>
    </row>
    <row r="8" spans="2:9" x14ac:dyDescent="0.25">
      <c r="B8" s="1" t="s">
        <v>9</v>
      </c>
      <c r="C8" s="1">
        <v>0.35</v>
      </c>
      <c r="D8" s="2" t="s">
        <v>9</v>
      </c>
      <c r="E8" s="2">
        <v>0.35</v>
      </c>
      <c r="F8" s="2" t="s">
        <v>9</v>
      </c>
      <c r="G8" s="4">
        <v>0.5</v>
      </c>
      <c r="H8" s="1" t="s">
        <v>18</v>
      </c>
      <c r="I8" s="1">
        <v>191</v>
      </c>
    </row>
    <row r="9" spans="2:9" x14ac:dyDescent="0.25">
      <c r="B9" s="1" t="s">
        <v>10</v>
      </c>
      <c r="C9" s="1">
        <v>37</v>
      </c>
      <c r="D9" s="2" t="s">
        <v>33</v>
      </c>
      <c r="E9" s="2">
        <v>1.1000000000000001</v>
      </c>
      <c r="F9" s="2" t="s">
        <v>33</v>
      </c>
      <c r="G9" s="2">
        <v>0.08</v>
      </c>
      <c r="H9" s="1" t="s">
        <v>19</v>
      </c>
      <c r="I9" s="1">
        <v>14.4</v>
      </c>
    </row>
    <row r="10" spans="2:9" x14ac:dyDescent="0.25">
      <c r="B10" s="1" t="s">
        <v>11</v>
      </c>
      <c r="C10" s="1">
        <v>2567</v>
      </c>
      <c r="D10" s="2" t="s">
        <v>34</v>
      </c>
      <c r="E10" s="2">
        <v>88</v>
      </c>
      <c r="F10" s="2" t="s">
        <v>35</v>
      </c>
      <c r="G10" s="2">
        <f>E10</f>
        <v>88</v>
      </c>
      <c r="H10" s="1" t="s">
        <v>20</v>
      </c>
      <c r="I10" s="1">
        <v>387287</v>
      </c>
    </row>
    <row r="11" spans="2:9" x14ac:dyDescent="0.25">
      <c r="B11" s="1" t="s">
        <v>12</v>
      </c>
      <c r="C11" s="1">
        <v>142</v>
      </c>
      <c r="D11" s="3" t="s">
        <v>10</v>
      </c>
      <c r="E11" s="3">
        <f>C9+5</f>
        <v>42</v>
      </c>
      <c r="F11" s="3" t="s">
        <v>10</v>
      </c>
      <c r="G11" s="5">
        <f>C9+5</f>
        <v>42</v>
      </c>
      <c r="H11" s="1" t="s">
        <v>21</v>
      </c>
      <c r="I11" s="1">
        <f>I14-I13</f>
        <v>225730.48500000002</v>
      </c>
    </row>
    <row r="12" spans="2:9" x14ac:dyDescent="0.25">
      <c r="B12" s="3" t="s">
        <v>13</v>
      </c>
      <c r="C12" s="3">
        <f>2*C10/(C11*(1+C8))</f>
        <v>26.781429316640583</v>
      </c>
      <c r="D12" s="3" t="s">
        <v>11</v>
      </c>
      <c r="E12" s="3">
        <f>E9*C10*C14/E10</f>
        <v>464.92990483260439</v>
      </c>
      <c r="F12" s="3" t="s">
        <v>11</v>
      </c>
      <c r="G12" s="5">
        <f>G9*C10*C11/G10</f>
        <v>331.37636363636369</v>
      </c>
      <c r="H12" s="1" t="s">
        <v>22</v>
      </c>
      <c r="I12" s="1">
        <v>0.42699999999999999</v>
      </c>
    </row>
    <row r="13" spans="2:9" x14ac:dyDescent="0.25">
      <c r="B13" s="3" t="s">
        <v>14</v>
      </c>
      <c r="C13" s="3">
        <f>C8*C12</f>
        <v>9.3735002608242031</v>
      </c>
      <c r="D13" s="3" t="s">
        <v>12</v>
      </c>
      <c r="E13" s="3">
        <f>(E7*E12)^(1/2)</f>
        <v>43.124466597633621</v>
      </c>
      <c r="F13" s="3" t="s">
        <v>12</v>
      </c>
      <c r="G13" s="3">
        <f>(G7*G12)^(1/2)</f>
        <v>23.026119556238342</v>
      </c>
      <c r="H13" s="1" t="s">
        <v>23</v>
      </c>
      <c r="I13" s="1">
        <f>I14*I12</f>
        <v>168214.51499999998</v>
      </c>
    </row>
    <row r="14" spans="2:9" x14ac:dyDescent="0.25">
      <c r="B14" s="3" t="s">
        <v>15</v>
      </c>
      <c r="C14" s="3">
        <f>2/3*C12*(1+C8-(C8/(1-C8)))</f>
        <v>14.489439963618368</v>
      </c>
      <c r="D14" s="3" t="s">
        <v>13</v>
      </c>
      <c r="E14" s="3">
        <f>2*E12/(E13*(1+E8))</f>
        <v>15.972024665790226</v>
      </c>
      <c r="F14" s="3" t="s">
        <v>13</v>
      </c>
      <c r="G14" s="3">
        <f>2*G12/(G13*(1+G8))</f>
        <v>19.188432963531955</v>
      </c>
      <c r="H14" s="1" t="s">
        <v>32</v>
      </c>
      <c r="I14" s="1">
        <v>393945</v>
      </c>
    </row>
    <row r="15" spans="2:9" x14ac:dyDescent="0.25">
      <c r="B15" s="3" t="s">
        <v>16</v>
      </c>
      <c r="C15" s="3">
        <f>C11/6*((1+2*C8)/(1+C8))</f>
        <v>29.802469135802465</v>
      </c>
      <c r="D15" s="3" t="s">
        <v>14</v>
      </c>
      <c r="E15" s="3">
        <f>E8*E14</f>
        <v>5.5902086330265783</v>
      </c>
      <c r="F15" s="3" t="s">
        <v>14</v>
      </c>
      <c r="G15" s="3">
        <f>G8*G14</f>
        <v>9.5942164817659776</v>
      </c>
      <c r="H15" s="21" t="s">
        <v>6</v>
      </c>
      <c r="I15" s="21"/>
    </row>
    <row r="16" spans="2:9" x14ac:dyDescent="0.25">
      <c r="D16" s="3" t="s">
        <v>15</v>
      </c>
      <c r="E16" s="3">
        <f>2/3*E14*(1+E8-(E8/(1-E8)))</f>
        <v>8.6412748832865081</v>
      </c>
      <c r="F16" s="3" t="s">
        <v>15</v>
      </c>
      <c r="G16" s="3">
        <f>2/3*G14*(1+G8-(G8/(1-G8)))</f>
        <v>6.3961443211773181</v>
      </c>
      <c r="H16" s="3" t="s">
        <v>24</v>
      </c>
      <c r="I16" s="3">
        <f>I13/C2</f>
        <v>25069.227272727272</v>
      </c>
    </row>
    <row r="17" spans="2:9" x14ac:dyDescent="0.25">
      <c r="B17" s="22" t="s">
        <v>7</v>
      </c>
      <c r="C17" s="23"/>
      <c r="D17" s="3" t="s">
        <v>16</v>
      </c>
      <c r="E17" s="3">
        <f>E13/6*((1+2*E8)/(1+E8))</f>
        <v>9.0508139772811287</v>
      </c>
      <c r="F17" s="3" t="s">
        <v>16</v>
      </c>
      <c r="G17" s="3">
        <f>G13/6*((1+2*G8)/(1+G8))</f>
        <v>5.1169154569418538</v>
      </c>
      <c r="H17" s="3" t="s">
        <v>25</v>
      </c>
      <c r="I17" s="3">
        <f>I16/7.481</f>
        <v>3351.052970555711</v>
      </c>
    </row>
    <row r="18" spans="2:9" x14ac:dyDescent="0.25">
      <c r="B18" s="1" t="s">
        <v>26</v>
      </c>
      <c r="C18" s="1">
        <v>64426</v>
      </c>
    </row>
    <row r="19" spans="2:9" x14ac:dyDescent="0.25">
      <c r="B19" s="1" t="s">
        <v>27</v>
      </c>
      <c r="C19" s="1">
        <v>5</v>
      </c>
    </row>
    <row r="20" spans="2:9" x14ac:dyDescent="0.25">
      <c r="B20" s="6" t="s">
        <v>28</v>
      </c>
      <c r="C20" s="6">
        <v>105</v>
      </c>
    </row>
    <row r="21" spans="2:9" x14ac:dyDescent="0.25">
      <c r="B21" s="6" t="s">
        <v>29</v>
      </c>
      <c r="C21" s="6">
        <v>170</v>
      </c>
    </row>
    <row r="22" spans="2:9" x14ac:dyDescent="0.25">
      <c r="B22" s="3" t="s">
        <v>30</v>
      </c>
      <c r="C22" s="3">
        <f>1.1*C20</f>
        <v>115.50000000000001</v>
      </c>
    </row>
    <row r="23" spans="2:9" x14ac:dyDescent="0.25">
      <c r="B23" s="3" t="s">
        <v>31</v>
      </c>
      <c r="C23" s="3">
        <f>1.1*(0.7*C22+C21)</f>
        <v>275.93500000000006</v>
      </c>
    </row>
    <row r="32" spans="2:9" x14ac:dyDescent="0.25">
      <c r="D32">
        <f>0.258972298051553*235320</f>
        <v>60941.361177491446</v>
      </c>
    </row>
    <row r="33" spans="4:4" x14ac:dyDescent="0.25">
      <c r="D33">
        <f>0.417630430825357*370555</f>
        <v>154755.04429449016</v>
      </c>
    </row>
  </sheetData>
  <mergeCells count="7">
    <mergeCell ref="H6:I6"/>
    <mergeCell ref="H15:I15"/>
    <mergeCell ref="B17:C17"/>
    <mergeCell ref="B1:C1"/>
    <mergeCell ref="B6:C6"/>
    <mergeCell ref="D6:E6"/>
    <mergeCell ref="F6: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D912-A53C-487A-A65A-E3576BE06716}">
  <dimension ref="B2:I11"/>
  <sheetViews>
    <sheetView workbookViewId="0">
      <selection activeCell="G11" sqref="G11"/>
    </sheetView>
  </sheetViews>
  <sheetFormatPr defaultRowHeight="15" x14ac:dyDescent="0.25"/>
  <cols>
    <col min="2" max="2" width="24.42578125" bestFit="1" customWidth="1"/>
    <col min="6" max="6" width="16.7109375" bestFit="1" customWidth="1"/>
    <col min="7" max="7" width="12.85546875" customWidth="1"/>
    <col min="8" max="8" width="13.85546875" bestFit="1" customWidth="1"/>
  </cols>
  <sheetData>
    <row r="2" spans="2:9" x14ac:dyDescent="0.25">
      <c r="B2" s="21" t="s">
        <v>36</v>
      </c>
      <c r="C2" s="21"/>
      <c r="F2" s="21" t="s">
        <v>41</v>
      </c>
      <c r="G2" s="21"/>
    </row>
    <row r="3" spans="2:9" x14ac:dyDescent="0.25">
      <c r="B3" s="1" t="s">
        <v>37</v>
      </c>
      <c r="C3" s="1">
        <v>0.1305</v>
      </c>
      <c r="F3" s="3" t="s">
        <v>42</v>
      </c>
      <c r="G3" s="3">
        <f>C5*C3*C7</f>
        <v>3.145478873239437</v>
      </c>
    </row>
    <row r="4" spans="2:9" x14ac:dyDescent="0.25">
      <c r="B4" s="1" t="s">
        <v>9</v>
      </c>
      <c r="C4" s="1">
        <f>NonStop!C8</f>
        <v>0.35</v>
      </c>
      <c r="F4" s="3" t="s">
        <v>43</v>
      </c>
      <c r="G4" s="3">
        <f>(C9-C8)*C5</f>
        <v>16.068857589984351</v>
      </c>
    </row>
    <row r="5" spans="2:9" x14ac:dyDescent="0.25">
      <c r="B5" s="3" t="s">
        <v>13</v>
      </c>
      <c r="C5" s="3">
        <f>NonStop!C12</f>
        <v>26.781429316640583</v>
      </c>
      <c r="F5" s="8" t="s">
        <v>44</v>
      </c>
      <c r="G5" s="8">
        <f>G4*G3</f>
        <v>50.54425206638895</v>
      </c>
    </row>
    <row r="6" spans="2:9" x14ac:dyDescent="0.25">
      <c r="B6" s="6" t="s">
        <v>38</v>
      </c>
      <c r="C6" s="6">
        <f>NonStop!I17</f>
        <v>3351.052970555711</v>
      </c>
      <c r="D6">
        <f>C6/2</f>
        <v>1675.5264852778555</v>
      </c>
      <c r="F6" s="3" t="s">
        <v>50</v>
      </c>
      <c r="G6" s="3">
        <f>I6*C3*C7</f>
        <v>1.4032823001388612</v>
      </c>
      <c r="H6" t="s">
        <v>52</v>
      </c>
      <c r="I6">
        <f>C5-C5*((1-C4)/(0.5*NonStop!C11))*G9</f>
        <v>11.947912304290007</v>
      </c>
    </row>
    <row r="7" spans="2:9" x14ac:dyDescent="0.25">
      <c r="B7" s="2" t="s">
        <v>49</v>
      </c>
      <c r="C7" s="2">
        <v>0.9</v>
      </c>
      <c r="F7" s="3" t="s">
        <v>51</v>
      </c>
      <c r="G7" s="3">
        <f>(C9-C8)*I6</f>
        <v>7.1687473825740051</v>
      </c>
    </row>
    <row r="8" spans="2:9" x14ac:dyDescent="0.25">
      <c r="B8" s="2" t="s">
        <v>39</v>
      </c>
      <c r="C8" s="2">
        <v>0.2</v>
      </c>
      <c r="F8" s="8" t="s">
        <v>45</v>
      </c>
      <c r="G8" s="8">
        <f>G6*G7</f>
        <v>10.059776316132892</v>
      </c>
    </row>
    <row r="9" spans="2:9" x14ac:dyDescent="0.25">
      <c r="B9" s="2" t="s">
        <v>40</v>
      </c>
      <c r="C9" s="2">
        <v>0.8</v>
      </c>
      <c r="F9" s="7" t="s">
        <v>46</v>
      </c>
      <c r="G9" s="7">
        <v>60.5</v>
      </c>
      <c r="H9" t="s">
        <v>53</v>
      </c>
      <c r="I9">
        <f>NonStop!C11/2</f>
        <v>71</v>
      </c>
    </row>
    <row r="10" spans="2:9" x14ac:dyDescent="0.25">
      <c r="F10" s="6" t="s">
        <v>47</v>
      </c>
      <c r="G10" s="6">
        <f>1/3*G9*(G5+G8+SQRT(G5*G8))</f>
        <v>1676.9222984103105</v>
      </c>
    </row>
    <row r="11" spans="2:9" x14ac:dyDescent="0.25">
      <c r="F11" s="3" t="s">
        <v>48</v>
      </c>
      <c r="G11" s="3">
        <f>(G9*(G5+2*SQRT(G5*G8)+3*G8))/(4*(G5+SQRT(G5*G8)+G8))</f>
        <v>22.886147457689322</v>
      </c>
    </row>
  </sheetData>
  <mergeCells count="2">
    <mergeCell ref="B2:C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4BF3-F0E2-426F-B85D-934AF7746706}">
  <dimension ref="A1:O28"/>
  <sheetViews>
    <sheetView workbookViewId="0">
      <selection activeCell="M3" sqref="L2:M3"/>
    </sheetView>
  </sheetViews>
  <sheetFormatPr defaultRowHeight="15" x14ac:dyDescent="0.25"/>
  <cols>
    <col min="1" max="1" width="12.85546875" bestFit="1" customWidth="1"/>
    <col min="2" max="3" width="7.5703125" bestFit="1" customWidth="1"/>
    <col min="4" max="4" width="11" bestFit="1" customWidth="1"/>
    <col min="5" max="5" width="7.5703125" bestFit="1" customWidth="1"/>
    <col min="6" max="6" width="14.140625" bestFit="1" customWidth="1"/>
    <col min="7" max="7" width="8.7109375" bestFit="1" customWidth="1"/>
    <col min="8" max="8" width="7.5703125" bestFit="1" customWidth="1"/>
    <col min="9" max="9" width="7" bestFit="1" customWidth="1"/>
    <col min="10" max="10" width="8.7109375" bestFit="1" customWidth="1"/>
    <col min="11" max="11" width="7.5703125" bestFit="1" customWidth="1"/>
    <col min="12" max="12" width="7" bestFit="1" customWidth="1"/>
    <col min="13" max="13" width="8.7109375" bestFit="1" customWidth="1"/>
    <col min="14" max="14" width="10.85546875" bestFit="1" customWidth="1"/>
  </cols>
  <sheetData>
    <row r="1" spans="1:15" x14ac:dyDescent="0.25">
      <c r="A1" s="16" t="s">
        <v>75</v>
      </c>
      <c r="B1" s="1">
        <f>NonStop!I14</f>
        <v>393945</v>
      </c>
      <c r="C1" s="1"/>
    </row>
    <row r="2" spans="1:15" x14ac:dyDescent="0.25">
      <c r="A2" s="1"/>
      <c r="B2" s="16" t="s">
        <v>76</v>
      </c>
      <c r="C2" s="16" t="s">
        <v>64</v>
      </c>
      <c r="F2" s="8" t="s">
        <v>78</v>
      </c>
      <c r="G2" s="8" t="s">
        <v>58</v>
      </c>
      <c r="H2" s="8" t="s">
        <v>38</v>
      </c>
      <c r="I2" s="8" t="s">
        <v>79</v>
      </c>
      <c r="L2" s="30" t="s">
        <v>83</v>
      </c>
    </row>
    <row r="3" spans="1:15" x14ac:dyDescent="0.25">
      <c r="A3" s="16" t="s">
        <v>77</v>
      </c>
      <c r="B3" s="1">
        <v>8.1158846543399107E-3</v>
      </c>
      <c r="C3" s="1">
        <f>B3*$B$1^1.195</f>
        <v>39434.959521822035</v>
      </c>
      <c r="F3" s="11" t="s">
        <v>60</v>
      </c>
      <c r="G3" s="18"/>
      <c r="H3" s="18"/>
      <c r="I3" s="18"/>
      <c r="L3">
        <f>C12/12</f>
        <v>500</v>
      </c>
      <c r="M3" t="s">
        <v>84</v>
      </c>
    </row>
    <row r="4" spans="1:15" x14ac:dyDescent="0.25">
      <c r="A4" s="16" t="s">
        <v>71</v>
      </c>
      <c r="B4" s="1">
        <v>1836.3415412886</v>
      </c>
      <c r="C4" s="1">
        <f>B4*$B$1^0.235</f>
        <v>37921.09095761479</v>
      </c>
      <c r="F4" s="12" t="s">
        <v>61</v>
      </c>
      <c r="G4" s="19"/>
      <c r="H4" s="19"/>
      <c r="I4" s="19"/>
    </row>
    <row r="5" spans="1:15" x14ac:dyDescent="0.25">
      <c r="A5" s="16" t="s">
        <v>72</v>
      </c>
      <c r="B5" s="1">
        <v>0.04</v>
      </c>
      <c r="C5" s="1">
        <f>B5*$B$1</f>
        <v>15757.800000000001</v>
      </c>
      <c r="F5" s="13" t="s">
        <v>62</v>
      </c>
      <c r="G5" s="19"/>
      <c r="H5" s="18"/>
      <c r="I5" s="19"/>
    </row>
    <row r="6" spans="1:15" x14ac:dyDescent="0.25">
      <c r="A6" s="16" t="s">
        <v>73</v>
      </c>
      <c r="B6" s="1">
        <v>1.81532235848928E-2</v>
      </c>
      <c r="C6" s="1">
        <f t="shared" ref="C6:C10" si="0">B6*$B$1</f>
        <v>7151.3716651505947</v>
      </c>
      <c r="F6" s="17" t="s">
        <v>63</v>
      </c>
      <c r="G6" s="18"/>
      <c r="H6" s="19"/>
      <c r="I6" s="18"/>
    </row>
    <row r="7" spans="1:15" x14ac:dyDescent="0.25">
      <c r="A7" s="16" t="s">
        <v>54</v>
      </c>
      <c r="B7" s="1">
        <v>1.5961239820201801E-3</v>
      </c>
      <c r="C7" s="1">
        <f>B7*$B$1^1.195</f>
        <v>7755.5420392916558</v>
      </c>
    </row>
    <row r="8" spans="1:15" x14ac:dyDescent="0.25">
      <c r="A8" s="16" t="s">
        <v>55</v>
      </c>
      <c r="B8" s="1">
        <v>9.1364555764723396E-2</v>
      </c>
      <c r="C8" s="1">
        <f t="shared" si="0"/>
        <v>35992.609920733958</v>
      </c>
    </row>
    <row r="9" spans="1:15" x14ac:dyDescent="0.25">
      <c r="A9" s="16" t="s">
        <v>56</v>
      </c>
      <c r="B9" s="1">
        <v>3.5000000000000003E-2</v>
      </c>
      <c r="C9" s="1">
        <f>B9*$B$1+D9</f>
        <v>46828.074999999997</v>
      </c>
      <c r="D9">
        <v>33040</v>
      </c>
    </row>
    <row r="10" spans="1:15" x14ac:dyDescent="0.25">
      <c r="A10" s="16" t="s">
        <v>38</v>
      </c>
      <c r="B10" s="1">
        <f>NonStop!I12*1.0275</f>
        <v>0.43874250000000004</v>
      </c>
      <c r="C10" s="1">
        <f t="shared" si="0"/>
        <v>172840.4141625</v>
      </c>
    </row>
    <row r="11" spans="1:15" x14ac:dyDescent="0.25">
      <c r="A11" s="16" t="s">
        <v>57</v>
      </c>
      <c r="B11" s="1">
        <v>54375</v>
      </c>
      <c r="C11" s="1">
        <f>B11</f>
        <v>54375</v>
      </c>
    </row>
    <row r="12" spans="1:15" x14ac:dyDescent="0.25">
      <c r="A12" s="16" t="s">
        <v>58</v>
      </c>
      <c r="B12" s="1"/>
      <c r="C12" s="1">
        <v>6000</v>
      </c>
      <c r="E12">
        <f>SUM(C3:C12)</f>
        <v>424056.86326711305</v>
      </c>
    </row>
    <row r="14" spans="1:15" x14ac:dyDescent="0.25">
      <c r="A14" s="8" t="s">
        <v>59</v>
      </c>
      <c r="B14" s="27" t="s">
        <v>60</v>
      </c>
      <c r="C14" s="27"/>
      <c r="D14" s="27"/>
      <c r="E14" s="26" t="s">
        <v>61</v>
      </c>
      <c r="F14" s="26"/>
      <c r="G14" s="26"/>
      <c r="H14" s="24" t="s">
        <v>62</v>
      </c>
      <c r="I14" s="24"/>
      <c r="J14" s="24"/>
      <c r="K14" s="25" t="s">
        <v>63</v>
      </c>
      <c r="L14" s="25"/>
      <c r="M14" s="25"/>
      <c r="N14" s="3"/>
      <c r="O14" s="3"/>
    </row>
    <row r="15" spans="1:15" x14ac:dyDescent="0.25">
      <c r="A15" s="3"/>
      <c r="B15" s="11" t="s">
        <v>64</v>
      </c>
      <c r="C15" s="11" t="s">
        <v>65</v>
      </c>
      <c r="D15" s="11" t="s">
        <v>66</v>
      </c>
      <c r="E15" s="12" t="s">
        <v>64</v>
      </c>
      <c r="F15" s="12" t="s">
        <v>65</v>
      </c>
      <c r="G15" s="12" t="s">
        <v>66</v>
      </c>
      <c r="H15" s="13" t="s">
        <v>64</v>
      </c>
      <c r="I15" s="13" t="s">
        <v>65</v>
      </c>
      <c r="J15" s="13" t="s">
        <v>66</v>
      </c>
      <c r="K15" s="14" t="s">
        <v>64</v>
      </c>
      <c r="L15" s="14" t="s">
        <v>65</v>
      </c>
      <c r="M15" s="14" t="s">
        <v>66</v>
      </c>
      <c r="N15" s="11" t="s">
        <v>67</v>
      </c>
      <c r="O15" s="2">
        <f>D26/B26</f>
        <v>179.26760285758496</v>
      </c>
    </row>
    <row r="16" spans="1:15" x14ac:dyDescent="0.25">
      <c r="A16" s="8" t="s">
        <v>77</v>
      </c>
      <c r="B16" s="2">
        <f t="shared" ref="B16:B25" si="1">C3</f>
        <v>39434.959521822035</v>
      </c>
      <c r="C16" s="2">
        <v>180</v>
      </c>
      <c r="D16" s="2">
        <f t="shared" ref="D16:D25" si="2">B16*C16</f>
        <v>7098292.7139279665</v>
      </c>
      <c r="E16" s="7">
        <f>B16</f>
        <v>39434.959521822035</v>
      </c>
      <c r="F16" s="7">
        <f>C16</f>
        <v>180</v>
      </c>
      <c r="G16" s="7">
        <f>E16*F16</f>
        <v>7098292.7139279665</v>
      </c>
      <c r="H16" s="6">
        <f>B16</f>
        <v>39434.959521822035</v>
      </c>
      <c r="I16" s="6">
        <f>F16</f>
        <v>180</v>
      </c>
      <c r="J16" s="6">
        <f>H16*I16</f>
        <v>7098292.7139279665</v>
      </c>
      <c r="K16" s="10">
        <f>B16</f>
        <v>39434.959521822035</v>
      </c>
      <c r="L16" s="10">
        <f>I16</f>
        <v>180</v>
      </c>
      <c r="M16" s="10">
        <f>K16*L16</f>
        <v>7098292.7139279665</v>
      </c>
      <c r="N16" s="12" t="s">
        <v>68</v>
      </c>
      <c r="O16" s="7">
        <f>G26/E26</f>
        <v>179.32585259326555</v>
      </c>
    </row>
    <row r="17" spans="1:15" x14ac:dyDescent="0.25">
      <c r="A17" s="8" t="s">
        <v>71</v>
      </c>
      <c r="B17" s="2">
        <f t="shared" si="1"/>
        <v>37921.09095761479</v>
      </c>
      <c r="C17" s="2">
        <f>100 + 0.4*NonStop!I8</f>
        <v>176.4</v>
      </c>
      <c r="D17" s="2">
        <f t="shared" si="2"/>
        <v>6689280.4449232491</v>
      </c>
      <c r="E17" s="7">
        <f t="shared" ref="E17:E22" si="3">B17</f>
        <v>37921.09095761479</v>
      </c>
      <c r="F17" s="7">
        <f t="shared" ref="F17:F25" si="4">C17</f>
        <v>176.4</v>
      </c>
      <c r="G17" s="7">
        <f t="shared" ref="G17:G25" si="5">E17*F17</f>
        <v>6689280.4449232491</v>
      </c>
      <c r="H17" s="6">
        <f>B17</f>
        <v>37921.09095761479</v>
      </c>
      <c r="I17" s="6">
        <f t="shared" ref="I17:I25" si="6">F17</f>
        <v>176.4</v>
      </c>
      <c r="J17" s="6">
        <f t="shared" ref="J17:J25" si="7">H17*I17</f>
        <v>6689280.4449232491</v>
      </c>
      <c r="K17" s="10">
        <f>B17</f>
        <v>37921.09095761479</v>
      </c>
      <c r="L17" s="10">
        <f t="shared" ref="L17:L25" si="8">I17</f>
        <v>176.4</v>
      </c>
      <c r="M17" s="10">
        <f t="shared" ref="M17:M25" si="9">K17*L17</f>
        <v>6689280.4449232491</v>
      </c>
      <c r="N17" s="13" t="s">
        <v>69</v>
      </c>
      <c r="O17" s="6">
        <f>J26/H26</f>
        <v>179.68426241042991</v>
      </c>
    </row>
    <row r="18" spans="1:15" x14ac:dyDescent="0.25">
      <c r="A18" s="8" t="s">
        <v>72</v>
      </c>
      <c r="B18" s="2">
        <f t="shared" si="1"/>
        <v>15757.800000000001</v>
      </c>
      <c r="C18" s="2">
        <f>C16</f>
        <v>180</v>
      </c>
      <c r="D18" s="2">
        <f t="shared" si="2"/>
        <v>2836404</v>
      </c>
      <c r="E18" s="7">
        <f t="shared" si="3"/>
        <v>15757.800000000001</v>
      </c>
      <c r="F18" s="7">
        <f t="shared" si="4"/>
        <v>180</v>
      </c>
      <c r="G18" s="7">
        <f t="shared" si="5"/>
        <v>2836404</v>
      </c>
      <c r="H18" s="6">
        <f t="shared" ref="H18:H23" si="10">B18</f>
        <v>15757.800000000001</v>
      </c>
      <c r="I18" s="6">
        <f t="shared" si="6"/>
        <v>180</v>
      </c>
      <c r="J18" s="6">
        <f t="shared" si="7"/>
        <v>2836404</v>
      </c>
      <c r="K18" s="10">
        <f t="shared" ref="K18:K25" si="11">B18</f>
        <v>15757.800000000001</v>
      </c>
      <c r="L18" s="10">
        <f t="shared" si="8"/>
        <v>180</v>
      </c>
      <c r="M18" s="10">
        <f t="shared" si="9"/>
        <v>2836404</v>
      </c>
      <c r="N18" s="14" t="s">
        <v>70</v>
      </c>
      <c r="O18" s="10">
        <f>M26/K26</f>
        <v>178.70866231424111</v>
      </c>
    </row>
    <row r="19" spans="1:15" x14ac:dyDescent="0.25">
      <c r="A19" s="8" t="s">
        <v>73</v>
      </c>
      <c r="B19" s="2">
        <f t="shared" si="1"/>
        <v>7151.3716651505947</v>
      </c>
      <c r="C19" s="2">
        <f>C16-18.36</f>
        <v>161.63999999999999</v>
      </c>
      <c r="D19" s="2">
        <f t="shared" si="2"/>
        <v>1155947.7159549419</v>
      </c>
      <c r="E19" s="7">
        <f t="shared" si="3"/>
        <v>7151.3716651505947</v>
      </c>
      <c r="F19" s="7">
        <f t="shared" si="4"/>
        <v>161.63999999999999</v>
      </c>
      <c r="G19" s="7">
        <f t="shared" si="5"/>
        <v>1155947.7159549419</v>
      </c>
      <c r="H19" s="6">
        <f t="shared" si="10"/>
        <v>7151.3716651505947</v>
      </c>
      <c r="I19" s="6">
        <f t="shared" si="6"/>
        <v>161.63999999999999</v>
      </c>
      <c r="J19" s="6">
        <f t="shared" si="7"/>
        <v>1155947.7159549419</v>
      </c>
      <c r="K19" s="10">
        <f t="shared" si="11"/>
        <v>7151.3716651505947</v>
      </c>
      <c r="L19" s="10">
        <f t="shared" si="8"/>
        <v>161.63999999999999</v>
      </c>
      <c r="M19" s="10">
        <f t="shared" si="9"/>
        <v>1155947.7159549419</v>
      </c>
      <c r="N19" s="3"/>
      <c r="O19" s="3"/>
    </row>
    <row r="20" spans="1:15" x14ac:dyDescent="0.25">
      <c r="A20" s="8" t="s">
        <v>54</v>
      </c>
      <c r="B20" s="2">
        <f t="shared" si="1"/>
        <v>7755.5420392916558</v>
      </c>
      <c r="C20" s="2">
        <f>100+NonStop!I8-7.85</f>
        <v>283.14999999999998</v>
      </c>
      <c r="D20" s="2">
        <f t="shared" si="2"/>
        <v>2195981.728425432</v>
      </c>
      <c r="E20" s="7">
        <f t="shared" si="3"/>
        <v>7755.5420392916558</v>
      </c>
      <c r="F20" s="7">
        <f t="shared" si="4"/>
        <v>283.14999999999998</v>
      </c>
      <c r="G20" s="7">
        <f t="shared" si="5"/>
        <v>2195981.728425432</v>
      </c>
      <c r="H20" s="6">
        <f t="shared" si="10"/>
        <v>7755.5420392916558</v>
      </c>
      <c r="I20" s="6">
        <f t="shared" si="6"/>
        <v>283.14999999999998</v>
      </c>
      <c r="J20" s="6">
        <f t="shared" si="7"/>
        <v>2195981.728425432</v>
      </c>
      <c r="K20" s="10">
        <f t="shared" si="11"/>
        <v>7755.5420392916558</v>
      </c>
      <c r="L20" s="10">
        <f t="shared" si="8"/>
        <v>283.14999999999998</v>
      </c>
      <c r="M20" s="10">
        <f t="shared" si="9"/>
        <v>2195981.728425432</v>
      </c>
      <c r="N20" s="3"/>
      <c r="O20" s="3"/>
    </row>
    <row r="21" spans="1:15" x14ac:dyDescent="0.25">
      <c r="A21" s="8" t="s">
        <v>55</v>
      </c>
      <c r="B21" s="2">
        <f t="shared" si="1"/>
        <v>35992.609920733958</v>
      </c>
      <c r="C21" s="2">
        <f>C19</f>
        <v>161.63999999999999</v>
      </c>
      <c r="D21" s="2">
        <f t="shared" si="2"/>
        <v>5817845.4675874365</v>
      </c>
      <c r="E21" s="7">
        <f t="shared" si="3"/>
        <v>35992.609920733958</v>
      </c>
      <c r="F21" s="7">
        <f t="shared" si="4"/>
        <v>161.63999999999999</v>
      </c>
      <c r="G21" s="7">
        <f t="shared" si="5"/>
        <v>5817845.4675874365</v>
      </c>
      <c r="H21" s="6">
        <f t="shared" si="10"/>
        <v>35992.609920733958</v>
      </c>
      <c r="I21" s="6">
        <f t="shared" si="6"/>
        <v>161.63999999999999</v>
      </c>
      <c r="J21" s="6">
        <f t="shared" si="7"/>
        <v>5817845.4675874365</v>
      </c>
      <c r="K21" s="10">
        <f t="shared" si="11"/>
        <v>35992.609920733958</v>
      </c>
      <c r="L21" s="10">
        <f t="shared" si="8"/>
        <v>161.63999999999999</v>
      </c>
      <c r="M21" s="10">
        <f t="shared" si="9"/>
        <v>5817845.4675874365</v>
      </c>
      <c r="N21" s="3" t="s">
        <v>81</v>
      </c>
      <c r="O21" s="3">
        <f>C16*0.9</f>
        <v>162</v>
      </c>
    </row>
    <row r="22" spans="1:15" x14ac:dyDescent="0.25">
      <c r="A22" s="8" t="s">
        <v>56</v>
      </c>
      <c r="B22" s="2">
        <f t="shared" si="1"/>
        <v>46828.074999999997</v>
      </c>
      <c r="C22" s="2">
        <f>C16</f>
        <v>180</v>
      </c>
      <c r="D22" s="2">
        <f t="shared" si="2"/>
        <v>8429053.5</v>
      </c>
      <c r="E22" s="7">
        <f t="shared" si="3"/>
        <v>46828.074999999997</v>
      </c>
      <c r="F22" s="7">
        <f t="shared" si="4"/>
        <v>180</v>
      </c>
      <c r="G22" s="7">
        <f t="shared" si="5"/>
        <v>8429053.5</v>
      </c>
      <c r="H22" s="6">
        <f t="shared" si="10"/>
        <v>46828.074999999997</v>
      </c>
      <c r="I22" s="6">
        <f t="shared" si="6"/>
        <v>180</v>
      </c>
      <c r="J22" s="6">
        <f t="shared" si="7"/>
        <v>8429053.5</v>
      </c>
      <c r="K22" s="10">
        <f t="shared" si="11"/>
        <v>46828.074999999997</v>
      </c>
      <c r="L22" s="10">
        <f t="shared" si="8"/>
        <v>180</v>
      </c>
      <c r="M22" s="10">
        <f t="shared" si="9"/>
        <v>8429053.5</v>
      </c>
      <c r="N22" s="3" t="s">
        <v>82</v>
      </c>
      <c r="O22" s="3">
        <f>C16*1.1</f>
        <v>198.00000000000003</v>
      </c>
    </row>
    <row r="23" spans="1:15" x14ac:dyDescent="0.25">
      <c r="A23" s="8" t="s">
        <v>38</v>
      </c>
      <c r="B23" s="2">
        <f t="shared" si="1"/>
        <v>172840.4141625</v>
      </c>
      <c r="C23" s="2">
        <f>C16+0.08</f>
        <v>180.08</v>
      </c>
      <c r="D23" s="2">
        <f t="shared" si="2"/>
        <v>31125101.782383002</v>
      </c>
      <c r="E23" s="7">
        <v>0</v>
      </c>
      <c r="F23" s="7">
        <f t="shared" si="4"/>
        <v>180.08</v>
      </c>
      <c r="G23" s="7">
        <f t="shared" si="5"/>
        <v>0</v>
      </c>
      <c r="H23" s="6">
        <f t="shared" si="10"/>
        <v>172840.4141625</v>
      </c>
      <c r="I23" s="6">
        <f t="shared" si="6"/>
        <v>180.08</v>
      </c>
      <c r="J23" s="6">
        <f t="shared" si="7"/>
        <v>31125101.782383002</v>
      </c>
      <c r="K23" s="10">
        <v>0</v>
      </c>
      <c r="L23" s="10">
        <f t="shared" si="8"/>
        <v>180.08</v>
      </c>
      <c r="M23" s="10">
        <f t="shared" si="9"/>
        <v>0</v>
      </c>
      <c r="N23" s="3"/>
      <c r="O23" s="3"/>
    </row>
    <row r="24" spans="1:15" x14ac:dyDescent="0.25">
      <c r="A24" s="8" t="s">
        <v>57</v>
      </c>
      <c r="B24" s="2">
        <f t="shared" si="1"/>
        <v>54375</v>
      </c>
      <c r="C24" s="2">
        <f>C17</f>
        <v>176.4</v>
      </c>
      <c r="D24" s="2">
        <f t="shared" si="2"/>
        <v>9591750</v>
      </c>
      <c r="E24" s="7">
        <v>0</v>
      </c>
      <c r="F24" s="7">
        <f t="shared" si="4"/>
        <v>176.4</v>
      </c>
      <c r="G24" s="7">
        <f t="shared" si="5"/>
        <v>0</v>
      </c>
      <c r="H24" s="6">
        <v>0</v>
      </c>
      <c r="I24" s="6">
        <f t="shared" si="6"/>
        <v>176.4</v>
      </c>
      <c r="J24" s="6">
        <f t="shared" si="7"/>
        <v>0</v>
      </c>
      <c r="K24" s="10">
        <f t="shared" si="11"/>
        <v>54375</v>
      </c>
      <c r="L24" s="10">
        <f t="shared" si="8"/>
        <v>176.4</v>
      </c>
      <c r="M24" s="10">
        <f t="shared" si="9"/>
        <v>9591750</v>
      </c>
      <c r="N24" s="3"/>
      <c r="O24" s="3"/>
    </row>
    <row r="25" spans="1:15" x14ac:dyDescent="0.25">
      <c r="A25" s="8" t="s">
        <v>58</v>
      </c>
      <c r="B25" s="2">
        <f t="shared" si="1"/>
        <v>6000</v>
      </c>
      <c r="C25" s="2">
        <f>C16</f>
        <v>180</v>
      </c>
      <c r="D25" s="2">
        <f t="shared" si="2"/>
        <v>1080000</v>
      </c>
      <c r="E25" s="7">
        <v>0</v>
      </c>
      <c r="F25" s="7">
        <f t="shared" si="4"/>
        <v>180</v>
      </c>
      <c r="G25" s="7">
        <f t="shared" si="5"/>
        <v>0</v>
      </c>
      <c r="H25" s="6">
        <v>0</v>
      </c>
      <c r="I25" s="6">
        <f t="shared" si="6"/>
        <v>180</v>
      </c>
      <c r="J25" s="6">
        <f t="shared" si="7"/>
        <v>0</v>
      </c>
      <c r="K25" s="10">
        <f t="shared" si="11"/>
        <v>6000</v>
      </c>
      <c r="L25" s="10">
        <f t="shared" si="8"/>
        <v>180</v>
      </c>
      <c r="M25" s="10">
        <f t="shared" si="9"/>
        <v>1080000</v>
      </c>
      <c r="N25" s="3"/>
      <c r="O25" s="3"/>
    </row>
    <row r="26" spans="1:15" x14ac:dyDescent="0.25">
      <c r="A26" s="3" t="s">
        <v>74</v>
      </c>
      <c r="B26" s="15">
        <f>SUM(B16:B25)</f>
        <v>424056.86326711305</v>
      </c>
      <c r="C26" s="15"/>
      <c r="D26" s="15">
        <f>SUM(D16:D25)</f>
        <v>76019657.35320203</v>
      </c>
      <c r="E26" s="15">
        <f>SUM(E16:E25)</f>
        <v>190841.44910461304</v>
      </c>
      <c r="F26" s="15"/>
      <c r="G26" s="15">
        <f>SUM(G16:G25)</f>
        <v>34222805.570819028</v>
      </c>
      <c r="H26" s="15">
        <f>SUM(H16:H25)</f>
        <v>363681.86326711305</v>
      </c>
      <c r="I26" s="15"/>
      <c r="J26" s="15">
        <f>SUM(J16:J25)</f>
        <v>65347907.35320203</v>
      </c>
      <c r="K26" s="15">
        <f>SUM(K16:K25)</f>
        <v>251216.44910461304</v>
      </c>
      <c r="L26" s="15"/>
      <c r="M26" s="15">
        <f>SUM(M16:M25)</f>
        <v>44894555.570819028</v>
      </c>
      <c r="N26" s="9"/>
      <c r="O26" s="9"/>
    </row>
    <row r="27" spans="1:15" x14ac:dyDescent="0.25">
      <c r="B27" s="28" t="s">
        <v>80</v>
      </c>
      <c r="C27" s="29"/>
      <c r="D27" s="20">
        <f>C16-O15</f>
        <v>0.73239714241503862</v>
      </c>
    </row>
    <row r="28" spans="1:15" x14ac:dyDescent="0.25">
      <c r="C28">
        <f>C20-NonStop!E10</f>
        <v>195.14999999999998</v>
      </c>
    </row>
  </sheetData>
  <mergeCells count="5">
    <mergeCell ref="K14:M14"/>
    <mergeCell ref="H14:J14"/>
    <mergeCell ref="E14:G14"/>
    <mergeCell ref="B14:D14"/>
    <mergeCell ref="B27:C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E652-37C4-4589-B874-AC1D71A06A20}">
  <dimension ref="B1:I23"/>
  <sheetViews>
    <sheetView workbookViewId="0">
      <selection activeCell="E37" sqref="E37"/>
    </sheetView>
  </sheetViews>
  <sheetFormatPr defaultRowHeight="15" x14ac:dyDescent="0.25"/>
  <cols>
    <col min="2" max="2" width="25.140625" bestFit="1" customWidth="1"/>
    <col min="3" max="3" width="7.7109375" bestFit="1" customWidth="1"/>
    <col min="4" max="4" width="19.5703125" bestFit="1" customWidth="1"/>
    <col min="6" max="6" width="17.28515625" bestFit="1" customWidth="1"/>
    <col min="8" max="8" width="23" bestFit="1" customWidth="1"/>
  </cols>
  <sheetData>
    <row r="1" spans="2:9" x14ac:dyDescent="0.25">
      <c r="B1" s="24" t="s">
        <v>0</v>
      </c>
      <c r="C1" s="24"/>
    </row>
    <row r="2" spans="2:9" x14ac:dyDescent="0.25">
      <c r="B2" s="6" t="s">
        <v>1</v>
      </c>
      <c r="C2" s="6">
        <v>6.71</v>
      </c>
    </row>
    <row r="6" spans="2:9" x14ac:dyDescent="0.25">
      <c r="B6" s="21" t="s">
        <v>2</v>
      </c>
      <c r="C6" s="21"/>
      <c r="D6" s="21" t="s">
        <v>3</v>
      </c>
      <c r="E6" s="21"/>
      <c r="F6" s="21" t="s">
        <v>4</v>
      </c>
      <c r="G6" s="22"/>
      <c r="H6" s="21" t="s">
        <v>5</v>
      </c>
      <c r="I6" s="21"/>
    </row>
    <row r="7" spans="2:9" x14ac:dyDescent="0.25">
      <c r="B7" s="1" t="s">
        <v>8</v>
      </c>
      <c r="C7" s="1">
        <v>9.5</v>
      </c>
      <c r="D7" s="2" t="s">
        <v>8</v>
      </c>
      <c r="E7" s="2">
        <v>4</v>
      </c>
      <c r="F7" s="2" t="s">
        <v>8</v>
      </c>
      <c r="G7" s="4">
        <v>1.6</v>
      </c>
      <c r="H7" s="1" t="s">
        <v>17</v>
      </c>
      <c r="I7" s="1">
        <v>2</v>
      </c>
    </row>
    <row r="8" spans="2:9" x14ac:dyDescent="0.25">
      <c r="B8" s="1" t="s">
        <v>9</v>
      </c>
      <c r="C8" s="1">
        <v>0.35</v>
      </c>
      <c r="D8" s="2" t="s">
        <v>9</v>
      </c>
      <c r="E8" s="2">
        <v>0.35</v>
      </c>
      <c r="F8" s="2" t="s">
        <v>9</v>
      </c>
      <c r="G8" s="4">
        <v>0.5</v>
      </c>
      <c r="H8" s="1" t="s">
        <v>18</v>
      </c>
      <c r="I8" s="1">
        <v>174</v>
      </c>
    </row>
    <row r="9" spans="2:9" x14ac:dyDescent="0.25">
      <c r="B9" s="1" t="s">
        <v>10</v>
      </c>
      <c r="C9" s="1">
        <v>31</v>
      </c>
      <c r="D9" s="2" t="s">
        <v>33</v>
      </c>
      <c r="E9" s="2">
        <v>1.1000000000000001</v>
      </c>
      <c r="F9" s="2" t="s">
        <v>33</v>
      </c>
      <c r="G9" s="2">
        <v>0.08</v>
      </c>
      <c r="H9" s="1" t="s">
        <v>19</v>
      </c>
      <c r="I9" s="1">
        <v>14.7</v>
      </c>
    </row>
    <row r="10" spans="2:9" x14ac:dyDescent="0.25">
      <c r="B10" s="1" t="s">
        <v>11</v>
      </c>
      <c r="C10" s="1">
        <v>2224</v>
      </c>
      <c r="D10" s="2" t="s">
        <v>34</v>
      </c>
      <c r="E10" s="2">
        <f>C11/2</f>
        <v>72.5</v>
      </c>
      <c r="F10" s="2" t="s">
        <v>35</v>
      </c>
      <c r="G10" s="2">
        <f>E10</f>
        <v>72.5</v>
      </c>
      <c r="H10" s="1" t="s">
        <v>20</v>
      </c>
      <c r="I10" s="1">
        <v>237646</v>
      </c>
    </row>
    <row r="11" spans="2:9" x14ac:dyDescent="0.25">
      <c r="B11" s="1" t="s">
        <v>12</v>
      </c>
      <c r="C11" s="1">
        <v>145</v>
      </c>
      <c r="D11" s="3" t="s">
        <v>10</v>
      </c>
      <c r="E11" s="3">
        <f>C9+5</f>
        <v>36</v>
      </c>
      <c r="F11" s="3" t="s">
        <v>10</v>
      </c>
      <c r="G11" s="5">
        <f>C9+5</f>
        <v>36</v>
      </c>
      <c r="H11" s="1" t="s">
        <v>21</v>
      </c>
      <c r="I11" s="1">
        <f>I14-I13</f>
        <v>177660.52499999999</v>
      </c>
    </row>
    <row r="12" spans="2:9" x14ac:dyDescent="0.25">
      <c r="B12" s="3" t="s">
        <v>13</v>
      </c>
      <c r="C12" s="3">
        <f>2*C10/(C11*(1+C8))</f>
        <v>22.72286079182631</v>
      </c>
      <c r="D12" s="3" t="s">
        <v>11</v>
      </c>
      <c r="E12" s="3">
        <f>E9*C10*C14/E10</f>
        <v>414.83015389132242</v>
      </c>
      <c r="F12" s="3" t="s">
        <v>11</v>
      </c>
      <c r="G12" s="5">
        <f>G9*C10*C11/G10</f>
        <v>355.84000000000003</v>
      </c>
      <c r="H12" s="1" t="s">
        <v>22</v>
      </c>
      <c r="I12" s="1">
        <v>0.26500000000000001</v>
      </c>
    </row>
    <row r="13" spans="2:9" x14ac:dyDescent="0.25">
      <c r="B13" s="3" t="s">
        <v>14</v>
      </c>
      <c r="C13" s="3">
        <f>C8*C12</f>
        <v>7.953001277139208</v>
      </c>
      <c r="D13" s="3" t="s">
        <v>12</v>
      </c>
      <c r="E13" s="3">
        <f>(E7*E12)^(1/2)</f>
        <v>40.73475930412858</v>
      </c>
      <c r="F13" s="3" t="s">
        <v>12</v>
      </c>
      <c r="G13" s="3">
        <f>(G7*G12)^(1/2)</f>
        <v>23.86093040935328</v>
      </c>
      <c r="H13" s="1" t="s">
        <v>23</v>
      </c>
      <c r="I13" s="1">
        <f>I14*I12</f>
        <v>64054.475000000006</v>
      </c>
    </row>
    <row r="14" spans="2:9" x14ac:dyDescent="0.25">
      <c r="B14" s="3" t="s">
        <v>15</v>
      </c>
      <c r="C14" s="3">
        <f>2/3*C12*(1+C8-(C8/(1-C8)))</f>
        <v>12.293650325834236</v>
      </c>
      <c r="D14" s="3" t="s">
        <v>13</v>
      </c>
      <c r="E14" s="3">
        <f>2*E12/(E13*(1+E8))</f>
        <v>15.08694789041799</v>
      </c>
      <c r="F14" s="3" t="s">
        <v>13</v>
      </c>
      <c r="G14" s="3">
        <f>2*G12/(G13*(1+G8))</f>
        <v>19.884108674461064</v>
      </c>
      <c r="H14" s="1" t="s">
        <v>32</v>
      </c>
      <c r="I14" s="1">
        <v>241715</v>
      </c>
    </row>
    <row r="15" spans="2:9" x14ac:dyDescent="0.25">
      <c r="B15" s="3" t="s">
        <v>16</v>
      </c>
      <c r="C15" s="3">
        <f>C11/6*((1+2*C8)/(1+C8))</f>
        <v>30.432098765432094</v>
      </c>
      <c r="D15" s="3" t="s">
        <v>14</v>
      </c>
      <c r="E15" s="3">
        <f>E8*E14</f>
        <v>5.2804317616462964</v>
      </c>
      <c r="F15" s="3" t="s">
        <v>14</v>
      </c>
      <c r="G15" s="3">
        <f>G8*G14</f>
        <v>9.9420543372305321</v>
      </c>
      <c r="H15" s="21" t="s">
        <v>6</v>
      </c>
      <c r="I15" s="21"/>
    </row>
    <row r="16" spans="2:9" x14ac:dyDescent="0.25">
      <c r="D16" s="3" t="s">
        <v>15</v>
      </c>
      <c r="E16" s="3">
        <f>2/3*E14*(1+E8-(E8/(1-E8)))</f>
        <v>8.1624256535338375</v>
      </c>
      <c r="F16" s="3" t="s">
        <v>15</v>
      </c>
      <c r="G16" s="3">
        <f>2/3*G14*(1+G8-(G8/(1-G8)))</f>
        <v>6.6280362248203541</v>
      </c>
      <c r="H16" s="3" t="s">
        <v>24</v>
      </c>
      <c r="I16" s="3">
        <f>I13/C2</f>
        <v>9546.1214605067071</v>
      </c>
    </row>
    <row r="17" spans="2:9" x14ac:dyDescent="0.25">
      <c r="B17" s="22" t="s">
        <v>7</v>
      </c>
      <c r="C17" s="23"/>
      <c r="D17" s="3" t="s">
        <v>16</v>
      </c>
      <c r="E17" s="3">
        <f>E13/6*((1+2*E8)/(1+E8))</f>
        <v>8.549270471236861</v>
      </c>
      <c r="F17" s="3" t="s">
        <v>16</v>
      </c>
      <c r="G17" s="3">
        <f>G13/6*((1+2*G8)/(1+G8))</f>
        <v>5.302428979856284</v>
      </c>
      <c r="H17" s="3" t="s">
        <v>25</v>
      </c>
      <c r="I17" s="3">
        <f>I16/7.481</f>
        <v>1276.048851825519</v>
      </c>
    </row>
    <row r="18" spans="2:9" x14ac:dyDescent="0.25">
      <c r="B18" s="1" t="s">
        <v>26</v>
      </c>
      <c r="C18" s="1">
        <v>40141</v>
      </c>
    </row>
    <row r="19" spans="2:9" x14ac:dyDescent="0.25">
      <c r="B19" s="1" t="s">
        <v>27</v>
      </c>
      <c r="C19" s="1">
        <v>5</v>
      </c>
    </row>
    <row r="20" spans="2:9" x14ac:dyDescent="0.25">
      <c r="B20" s="6" t="s">
        <v>28</v>
      </c>
      <c r="C20" s="6">
        <v>83</v>
      </c>
    </row>
    <row r="21" spans="2:9" x14ac:dyDescent="0.25">
      <c r="B21" s="6" t="s">
        <v>29</v>
      </c>
      <c r="C21" s="6">
        <v>135</v>
      </c>
    </row>
    <row r="22" spans="2:9" x14ac:dyDescent="0.25">
      <c r="B22" s="3" t="s">
        <v>30</v>
      </c>
      <c r="C22" s="3">
        <f>1.1*C20</f>
        <v>91.300000000000011</v>
      </c>
    </row>
    <row r="23" spans="2:9" x14ac:dyDescent="0.25">
      <c r="B23" s="3" t="s">
        <v>31</v>
      </c>
      <c r="C23" s="3">
        <f>1.1*(0.7*C22+C21)</f>
        <v>218.80100000000002</v>
      </c>
    </row>
  </sheetData>
  <mergeCells count="7">
    <mergeCell ref="H6:I6"/>
    <mergeCell ref="H15:I15"/>
    <mergeCell ref="B17:C17"/>
    <mergeCell ref="B1:C1"/>
    <mergeCell ref="B6:C6"/>
    <mergeCell ref="D6:E6"/>
    <mergeCell ref="F6:G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BE1F-AC05-44CB-B96D-5C00A1FE99F4}">
  <dimension ref="B2:I11"/>
  <sheetViews>
    <sheetView workbookViewId="0">
      <selection activeCell="G12" sqref="G12"/>
    </sheetView>
  </sheetViews>
  <sheetFormatPr defaultRowHeight="15" x14ac:dyDescent="0.25"/>
  <cols>
    <col min="2" max="2" width="24.42578125" bestFit="1" customWidth="1"/>
    <col min="6" max="6" width="16.7109375" bestFit="1" customWidth="1"/>
    <col min="7" max="7" width="12.85546875" customWidth="1"/>
    <col min="8" max="8" width="13.85546875" bestFit="1" customWidth="1"/>
  </cols>
  <sheetData>
    <row r="2" spans="2:9" x14ac:dyDescent="0.25">
      <c r="B2" s="21" t="s">
        <v>36</v>
      </c>
      <c r="C2" s="21"/>
      <c r="F2" s="21" t="s">
        <v>41</v>
      </c>
      <c r="G2" s="21"/>
    </row>
    <row r="3" spans="2:9" x14ac:dyDescent="0.25">
      <c r="B3" s="1" t="s">
        <v>37</v>
      </c>
      <c r="C3" s="1">
        <v>0.152</v>
      </c>
      <c r="F3" s="3" t="s">
        <v>42</v>
      </c>
      <c r="G3" s="3">
        <f>C5*C3*C7</f>
        <v>3.1084873563218389</v>
      </c>
    </row>
    <row r="4" spans="2:9" x14ac:dyDescent="0.25">
      <c r="B4" s="1" t="s">
        <v>9</v>
      </c>
      <c r="C4" s="1">
        <f>OneStop!C8</f>
        <v>0.35</v>
      </c>
      <c r="F4" s="3" t="s">
        <v>43</v>
      </c>
      <c r="G4" s="3">
        <f>(C9-C8)*C5</f>
        <v>11.361430395913153</v>
      </c>
    </row>
    <row r="5" spans="2:9" x14ac:dyDescent="0.25">
      <c r="B5" s="3" t="s">
        <v>13</v>
      </c>
      <c r="C5" s="3">
        <f>OneStop!C12</f>
        <v>22.72286079182631</v>
      </c>
      <c r="F5" s="8" t="s">
        <v>44</v>
      </c>
      <c r="G5" s="8">
        <f>G4*G3</f>
        <v>35.31686273542666</v>
      </c>
    </row>
    <row r="6" spans="2:9" x14ac:dyDescent="0.25">
      <c r="B6" s="6" t="s">
        <v>38</v>
      </c>
      <c r="C6" s="6">
        <f>OneStop!I17</f>
        <v>1276.048851825519</v>
      </c>
      <c r="D6">
        <f>C6/2</f>
        <v>638.02442591275951</v>
      </c>
      <c r="F6" s="3" t="s">
        <v>50</v>
      </c>
      <c r="G6" s="3">
        <f>I6*C3*C7</f>
        <v>2.4842173437970674</v>
      </c>
      <c r="H6" t="s">
        <v>52</v>
      </c>
      <c r="I6">
        <f>C5-C5*((1-C4)/(0.5*OneStop!C11))*G9</f>
        <v>18.159483507288503</v>
      </c>
    </row>
    <row r="7" spans="2:9" x14ac:dyDescent="0.25">
      <c r="B7" s="2" t="s">
        <v>49</v>
      </c>
      <c r="C7" s="2">
        <v>0.9</v>
      </c>
      <c r="F7" s="3" t="s">
        <v>51</v>
      </c>
      <c r="G7" s="3">
        <f>(C9-C8)*I6</f>
        <v>9.0797417536442495</v>
      </c>
    </row>
    <row r="8" spans="2:9" x14ac:dyDescent="0.25">
      <c r="B8" s="2" t="s">
        <v>39</v>
      </c>
      <c r="C8" s="2">
        <v>0.2</v>
      </c>
      <c r="F8" s="8" t="s">
        <v>45</v>
      </c>
      <c r="G8" s="8">
        <f>G6*G7</f>
        <v>22.556051941601446</v>
      </c>
    </row>
    <row r="9" spans="2:9" x14ac:dyDescent="0.25">
      <c r="B9" s="2" t="s">
        <v>40</v>
      </c>
      <c r="C9" s="2">
        <v>0.7</v>
      </c>
      <c r="F9" s="7" t="s">
        <v>46</v>
      </c>
      <c r="G9" s="7">
        <v>22.4</v>
      </c>
      <c r="H9" t="s">
        <v>53</v>
      </c>
      <c r="I9">
        <f>OneStop!C11/2</f>
        <v>72.5</v>
      </c>
    </row>
    <row r="10" spans="2:9" x14ac:dyDescent="0.25">
      <c r="F10" s="6" t="s">
        <v>47</v>
      </c>
      <c r="G10" s="6">
        <f>1/3*G9*(G5+G8+SQRT(G5*G8))</f>
        <v>642.8589224728438</v>
      </c>
    </row>
    <row r="11" spans="2:9" x14ac:dyDescent="0.25">
      <c r="F11" s="3" t="s">
        <v>48</v>
      </c>
      <c r="G11" s="3">
        <f>(G9*(G5+2*SQRT(G5*G8)+3*G8))/(4*(G5+SQRT(G5*G8)+G8))</f>
        <v>10.370001353837704</v>
      </c>
    </row>
  </sheetData>
  <mergeCells count="2">
    <mergeCell ref="B2:C2"/>
    <mergeCell ref="F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56AE-2FE9-4CF3-8ED1-8E3D5B4CE26C}">
  <dimension ref="A1:O28"/>
  <sheetViews>
    <sheetView tabSelected="1" workbookViewId="0">
      <selection activeCell="M7" sqref="M7"/>
    </sheetView>
  </sheetViews>
  <sheetFormatPr defaultRowHeight="15" x14ac:dyDescent="0.25"/>
  <cols>
    <col min="1" max="1" width="12.85546875" bestFit="1" customWidth="1"/>
    <col min="2" max="3" width="7.5703125" bestFit="1" customWidth="1"/>
    <col min="4" max="4" width="11" bestFit="1" customWidth="1"/>
    <col min="5" max="5" width="7.5703125" bestFit="1" customWidth="1"/>
    <col min="6" max="6" width="14.140625" bestFit="1" customWidth="1"/>
    <col min="7" max="7" width="8.7109375" bestFit="1" customWidth="1"/>
    <col min="8" max="8" width="7.5703125" bestFit="1" customWidth="1"/>
    <col min="9" max="9" width="7" bestFit="1" customWidth="1"/>
    <col min="10" max="10" width="8.7109375" bestFit="1" customWidth="1"/>
    <col min="11" max="11" width="7.5703125" bestFit="1" customWidth="1"/>
    <col min="12" max="12" width="7" bestFit="1" customWidth="1"/>
    <col min="13" max="13" width="8.7109375" bestFit="1" customWidth="1"/>
    <col min="14" max="14" width="10.85546875" bestFit="1" customWidth="1"/>
  </cols>
  <sheetData>
    <row r="1" spans="1:15" x14ac:dyDescent="0.25">
      <c r="A1" s="16" t="s">
        <v>75</v>
      </c>
      <c r="B1" s="1">
        <f>OneStop!I14</f>
        <v>241715</v>
      </c>
      <c r="C1" s="1"/>
    </row>
    <row r="2" spans="1:15" x14ac:dyDescent="0.25">
      <c r="A2" s="1"/>
      <c r="B2" s="16" t="s">
        <v>76</v>
      </c>
      <c r="C2" s="16" t="s">
        <v>64</v>
      </c>
      <c r="F2" s="8" t="s">
        <v>78</v>
      </c>
      <c r="G2" s="8" t="s">
        <v>58</v>
      </c>
      <c r="H2" s="8" t="s">
        <v>38</v>
      </c>
      <c r="I2" s="8" t="s">
        <v>79</v>
      </c>
      <c r="L2" s="30" t="s">
        <v>83</v>
      </c>
    </row>
    <row r="3" spans="1:15" x14ac:dyDescent="0.25">
      <c r="A3" s="16" t="s">
        <v>77</v>
      </c>
      <c r="B3" s="1">
        <v>1.0592996544333899E-2</v>
      </c>
      <c r="C3" s="1">
        <f>B3*$B$1^1.195</f>
        <v>28712.210880734088</v>
      </c>
      <c r="F3" s="11" t="s">
        <v>60</v>
      </c>
      <c r="G3" s="18"/>
      <c r="H3" s="18"/>
      <c r="I3" s="18"/>
      <c r="L3">
        <f>C12/12</f>
        <v>250</v>
      </c>
      <c r="M3" t="s">
        <v>84</v>
      </c>
    </row>
    <row r="4" spans="1:15" x14ac:dyDescent="0.25">
      <c r="A4" s="16" t="s">
        <v>71</v>
      </c>
      <c r="B4" s="1">
        <v>1757.81836450742</v>
      </c>
      <c r="C4" s="1">
        <f>B4*$B$1^0.235</f>
        <v>32363.117041280289</v>
      </c>
      <c r="F4" s="12" t="s">
        <v>61</v>
      </c>
      <c r="G4" s="19"/>
      <c r="H4" s="19"/>
      <c r="I4" s="19"/>
    </row>
    <row r="5" spans="1:15" x14ac:dyDescent="0.25">
      <c r="A5" s="16" t="s">
        <v>72</v>
      </c>
      <c r="B5" s="1">
        <v>0.04</v>
      </c>
      <c r="C5" s="1">
        <f>B5*$B$1</f>
        <v>9668.6</v>
      </c>
      <c r="F5" s="13" t="s">
        <v>62</v>
      </c>
      <c r="G5" s="19"/>
      <c r="H5" s="18"/>
      <c r="I5" s="19"/>
    </row>
    <row r="6" spans="1:15" x14ac:dyDescent="0.25">
      <c r="A6" s="16" t="s">
        <v>73</v>
      </c>
      <c r="B6" s="1">
        <v>1.84336913750245E-2</v>
      </c>
      <c r="C6" s="1">
        <f t="shared" ref="C6:C10" si="0">B6*$B$1</f>
        <v>4455.6997107140469</v>
      </c>
      <c r="F6" s="17" t="s">
        <v>63</v>
      </c>
      <c r="G6" s="18"/>
      <c r="H6" s="19"/>
      <c r="I6" s="18"/>
    </row>
    <row r="7" spans="1:15" x14ac:dyDescent="0.25">
      <c r="A7" s="16" t="s">
        <v>54</v>
      </c>
      <c r="B7" s="1">
        <v>2.0832893203856801E-3</v>
      </c>
      <c r="C7" s="1">
        <f>B7*$B$1^1.195</f>
        <v>5646.7348065444066</v>
      </c>
    </row>
    <row r="8" spans="1:15" x14ac:dyDescent="0.25">
      <c r="A8" s="16" t="s">
        <v>55</v>
      </c>
      <c r="B8" s="1">
        <v>9.2776140596026901E-2</v>
      </c>
      <c r="C8" s="1">
        <f t="shared" si="0"/>
        <v>22425.384824168643</v>
      </c>
    </row>
    <row r="9" spans="1:15" x14ac:dyDescent="0.25">
      <c r="A9" s="16" t="s">
        <v>56</v>
      </c>
      <c r="B9" s="1">
        <v>3.5000000000000003E-2</v>
      </c>
      <c r="C9" s="1">
        <f>B9*$B$1+D9</f>
        <v>40130.025000000001</v>
      </c>
      <c r="D9">
        <v>31670</v>
      </c>
    </row>
    <row r="10" spans="1:15" x14ac:dyDescent="0.25">
      <c r="A10" s="16" t="s">
        <v>38</v>
      </c>
      <c r="B10" s="1">
        <f>OneStop!I12*1.0275</f>
        <v>0.27228750000000002</v>
      </c>
      <c r="C10" s="1">
        <f t="shared" si="0"/>
        <v>65815.973062500008</v>
      </c>
    </row>
    <row r="11" spans="1:15" x14ac:dyDescent="0.25">
      <c r="A11" s="16" t="s">
        <v>57</v>
      </c>
      <c r="B11" s="1">
        <v>51375</v>
      </c>
      <c r="C11" s="1">
        <f>B11</f>
        <v>51375</v>
      </c>
    </row>
    <row r="12" spans="1:15" x14ac:dyDescent="0.25">
      <c r="A12" s="16" t="s">
        <v>58</v>
      </c>
      <c r="B12" s="1"/>
      <c r="C12" s="1">
        <v>3000</v>
      </c>
      <c r="E12">
        <f>SUM(C3:C12)</f>
        <v>263592.74532594148</v>
      </c>
    </row>
    <row r="14" spans="1:15" x14ac:dyDescent="0.25">
      <c r="A14" s="8" t="s">
        <v>59</v>
      </c>
      <c r="B14" s="27" t="s">
        <v>60</v>
      </c>
      <c r="C14" s="27"/>
      <c r="D14" s="27"/>
      <c r="E14" s="26" t="s">
        <v>61</v>
      </c>
      <c r="F14" s="26"/>
      <c r="G14" s="26"/>
      <c r="H14" s="24" t="s">
        <v>62</v>
      </c>
      <c r="I14" s="24"/>
      <c r="J14" s="24"/>
      <c r="K14" s="25" t="s">
        <v>63</v>
      </c>
      <c r="L14" s="25"/>
      <c r="M14" s="25"/>
      <c r="N14" s="3"/>
      <c r="O14" s="3"/>
    </row>
    <row r="15" spans="1:15" x14ac:dyDescent="0.25">
      <c r="A15" s="3"/>
      <c r="B15" s="11" t="s">
        <v>64</v>
      </c>
      <c r="C15" s="11" t="s">
        <v>65</v>
      </c>
      <c r="D15" s="11" t="s">
        <v>66</v>
      </c>
      <c r="E15" s="12" t="s">
        <v>64</v>
      </c>
      <c r="F15" s="12" t="s">
        <v>65</v>
      </c>
      <c r="G15" s="12" t="s">
        <v>66</v>
      </c>
      <c r="H15" s="13" t="s">
        <v>64</v>
      </c>
      <c r="I15" s="13" t="s">
        <v>65</v>
      </c>
      <c r="J15" s="13" t="s">
        <v>66</v>
      </c>
      <c r="K15" s="14" t="s">
        <v>64</v>
      </c>
      <c r="L15" s="14" t="s">
        <v>65</v>
      </c>
      <c r="M15" s="14" t="s">
        <v>66</v>
      </c>
      <c r="N15" s="11" t="s">
        <v>67</v>
      </c>
      <c r="O15" s="2">
        <f>D26/B26</f>
        <v>172.59388506073529</v>
      </c>
    </row>
    <row r="16" spans="1:15" x14ac:dyDescent="0.25">
      <c r="A16" s="8" t="s">
        <v>77</v>
      </c>
      <c r="B16" s="2">
        <f t="shared" ref="B16:B25" si="1">C3</f>
        <v>28712.210880734088</v>
      </c>
      <c r="C16" s="2">
        <v>171</v>
      </c>
      <c r="D16" s="2">
        <f t="shared" ref="D16:D25" si="2">B16*C16</f>
        <v>4909788.0606055288</v>
      </c>
      <c r="E16" s="7">
        <f>B16</f>
        <v>28712.210880734088</v>
      </c>
      <c r="F16" s="7">
        <f>C16</f>
        <v>171</v>
      </c>
      <c r="G16" s="7">
        <f>E16*F16</f>
        <v>4909788.0606055288</v>
      </c>
      <c r="H16" s="6">
        <f>B16</f>
        <v>28712.210880734088</v>
      </c>
      <c r="I16" s="6">
        <f>F16</f>
        <v>171</v>
      </c>
      <c r="J16" s="6">
        <f>H16*I16</f>
        <v>4909788.0606055288</v>
      </c>
      <c r="K16" s="10">
        <f>B16</f>
        <v>28712.210880734088</v>
      </c>
      <c r="L16" s="10">
        <f>I16</f>
        <v>171</v>
      </c>
      <c r="M16" s="10">
        <f>K16*L16</f>
        <v>4909788.0606055288</v>
      </c>
      <c r="N16" s="12" t="s">
        <v>68</v>
      </c>
      <c r="O16" s="7">
        <f>G26/E26</f>
        <v>170.98913361354647</v>
      </c>
    </row>
    <row r="17" spans="1:15" x14ac:dyDescent="0.25">
      <c r="A17" s="8" t="s">
        <v>71</v>
      </c>
      <c r="B17" s="2">
        <f t="shared" si="1"/>
        <v>32363.117041280289</v>
      </c>
      <c r="C17" s="2">
        <f>100 + 0.4*OneStop!I8</f>
        <v>169.60000000000002</v>
      </c>
      <c r="D17" s="2">
        <f t="shared" si="2"/>
        <v>5488784.6502011381</v>
      </c>
      <c r="E17" s="7">
        <f t="shared" ref="E17:E22" si="3">B17</f>
        <v>32363.117041280289</v>
      </c>
      <c r="F17" s="7">
        <f t="shared" ref="F17:F25" si="4">C17</f>
        <v>169.60000000000002</v>
      </c>
      <c r="G17" s="7">
        <f t="shared" ref="G17:G25" si="5">E17*F17</f>
        <v>5488784.6502011381</v>
      </c>
      <c r="H17" s="6">
        <f>B17</f>
        <v>32363.117041280289</v>
      </c>
      <c r="I17" s="6">
        <f t="shared" ref="I17:I25" si="6">F17</f>
        <v>169.60000000000002</v>
      </c>
      <c r="J17" s="6">
        <f t="shared" ref="J17:J25" si="7">H17*I17</f>
        <v>5488784.6502011381</v>
      </c>
      <c r="K17" s="10">
        <f>B17</f>
        <v>32363.117041280289</v>
      </c>
      <c r="L17" s="10">
        <f t="shared" ref="L17:L25" si="8">I17</f>
        <v>169.60000000000002</v>
      </c>
      <c r="M17" s="10">
        <f t="shared" ref="M17:M25" si="9">K17*L17</f>
        <v>5488784.6502011381</v>
      </c>
      <c r="N17" s="13" t="s">
        <v>69</v>
      </c>
      <c r="O17" s="6">
        <f>J26/H26</f>
        <v>173.35191110642469</v>
      </c>
    </row>
    <row r="18" spans="1:15" x14ac:dyDescent="0.25">
      <c r="A18" s="8" t="s">
        <v>72</v>
      </c>
      <c r="B18" s="2">
        <f t="shared" si="1"/>
        <v>9668.6</v>
      </c>
      <c r="C18" s="2">
        <f>C16</f>
        <v>171</v>
      </c>
      <c r="D18" s="2">
        <f t="shared" si="2"/>
        <v>1653330.6</v>
      </c>
      <c r="E18" s="7">
        <f t="shared" si="3"/>
        <v>9668.6</v>
      </c>
      <c r="F18" s="7">
        <f t="shared" si="4"/>
        <v>171</v>
      </c>
      <c r="G18" s="7">
        <f t="shared" si="5"/>
        <v>1653330.6</v>
      </c>
      <c r="H18" s="6">
        <f t="shared" ref="H18:H23" si="10">B18</f>
        <v>9668.6</v>
      </c>
      <c r="I18" s="6">
        <f t="shared" si="6"/>
        <v>171</v>
      </c>
      <c r="J18" s="6">
        <f t="shared" si="7"/>
        <v>1653330.6</v>
      </c>
      <c r="K18" s="10">
        <f t="shared" ref="K18:K25" si="11">B18</f>
        <v>9668.6</v>
      </c>
      <c r="L18" s="10">
        <f t="shared" si="8"/>
        <v>171</v>
      </c>
      <c r="M18" s="10">
        <f t="shared" si="9"/>
        <v>1653330.6</v>
      </c>
      <c r="N18" s="14" t="s">
        <v>70</v>
      </c>
      <c r="O18" s="10">
        <f>M26/K26</f>
        <v>170.6284535426756</v>
      </c>
    </row>
    <row r="19" spans="1:15" x14ac:dyDescent="0.25">
      <c r="A19" s="8" t="s">
        <v>73</v>
      </c>
      <c r="B19" s="2">
        <f t="shared" si="1"/>
        <v>4455.6997107140469</v>
      </c>
      <c r="C19" s="2">
        <f>C16-18.36</f>
        <v>152.63999999999999</v>
      </c>
      <c r="D19" s="2">
        <f t="shared" si="2"/>
        <v>680118.00384339201</v>
      </c>
      <c r="E19" s="7">
        <f t="shared" si="3"/>
        <v>4455.6997107140469</v>
      </c>
      <c r="F19" s="7">
        <f t="shared" si="4"/>
        <v>152.63999999999999</v>
      </c>
      <c r="G19" s="7">
        <f t="shared" si="5"/>
        <v>680118.00384339201</v>
      </c>
      <c r="H19" s="6">
        <f t="shared" si="10"/>
        <v>4455.6997107140469</v>
      </c>
      <c r="I19" s="6">
        <f t="shared" si="6"/>
        <v>152.63999999999999</v>
      </c>
      <c r="J19" s="6">
        <f t="shared" si="7"/>
        <v>680118.00384339201</v>
      </c>
      <c r="K19" s="10">
        <f t="shared" si="11"/>
        <v>4455.6997107140469</v>
      </c>
      <c r="L19" s="10">
        <f t="shared" si="8"/>
        <v>152.63999999999999</v>
      </c>
      <c r="M19" s="10">
        <f t="shared" si="9"/>
        <v>680118.00384339201</v>
      </c>
      <c r="N19" s="3"/>
      <c r="O19" s="3"/>
    </row>
    <row r="20" spans="1:15" x14ac:dyDescent="0.25">
      <c r="A20" s="8" t="s">
        <v>54</v>
      </c>
      <c r="B20" s="2">
        <f t="shared" si="1"/>
        <v>5646.7348065444066</v>
      </c>
      <c r="C20" s="2">
        <f>100+OneStop!I8-7.85</f>
        <v>266.14999999999998</v>
      </c>
      <c r="D20" s="2">
        <f t="shared" si="2"/>
        <v>1502878.4687617938</v>
      </c>
      <c r="E20" s="7">
        <f t="shared" si="3"/>
        <v>5646.7348065444066</v>
      </c>
      <c r="F20" s="7">
        <f t="shared" si="4"/>
        <v>266.14999999999998</v>
      </c>
      <c r="G20" s="7">
        <f t="shared" si="5"/>
        <v>1502878.4687617938</v>
      </c>
      <c r="H20" s="6">
        <f t="shared" si="10"/>
        <v>5646.7348065444066</v>
      </c>
      <c r="I20" s="6">
        <f t="shared" si="6"/>
        <v>266.14999999999998</v>
      </c>
      <c r="J20" s="6">
        <f t="shared" si="7"/>
        <v>1502878.4687617938</v>
      </c>
      <c r="K20" s="10">
        <f t="shared" si="11"/>
        <v>5646.7348065444066</v>
      </c>
      <c r="L20" s="10">
        <f t="shared" si="8"/>
        <v>266.14999999999998</v>
      </c>
      <c r="M20" s="10">
        <f t="shared" si="9"/>
        <v>1502878.4687617938</v>
      </c>
      <c r="N20" s="3"/>
      <c r="O20" s="3"/>
    </row>
    <row r="21" spans="1:15" x14ac:dyDescent="0.25">
      <c r="A21" s="8" t="s">
        <v>55</v>
      </c>
      <c r="B21" s="2">
        <f t="shared" si="1"/>
        <v>22425.384824168643</v>
      </c>
      <c r="C21" s="2">
        <f>C19</f>
        <v>152.63999999999999</v>
      </c>
      <c r="D21" s="2">
        <f t="shared" si="2"/>
        <v>3423010.7395611014</v>
      </c>
      <c r="E21" s="7">
        <f t="shared" si="3"/>
        <v>22425.384824168643</v>
      </c>
      <c r="F21" s="7">
        <f t="shared" si="4"/>
        <v>152.63999999999999</v>
      </c>
      <c r="G21" s="7">
        <f t="shared" si="5"/>
        <v>3423010.7395611014</v>
      </c>
      <c r="H21" s="6">
        <f t="shared" si="10"/>
        <v>22425.384824168643</v>
      </c>
      <c r="I21" s="6">
        <f t="shared" si="6"/>
        <v>152.63999999999999</v>
      </c>
      <c r="J21" s="6">
        <f t="shared" si="7"/>
        <v>3423010.7395611014</v>
      </c>
      <c r="K21" s="10">
        <f t="shared" si="11"/>
        <v>22425.384824168643</v>
      </c>
      <c r="L21" s="10">
        <f t="shared" si="8"/>
        <v>152.63999999999999</v>
      </c>
      <c r="M21" s="10">
        <f t="shared" si="9"/>
        <v>3423010.7395611014</v>
      </c>
      <c r="N21" s="3" t="s">
        <v>81</v>
      </c>
      <c r="O21" s="3">
        <f>C16*0.9</f>
        <v>153.9</v>
      </c>
    </row>
    <row r="22" spans="1:15" x14ac:dyDescent="0.25">
      <c r="A22" s="8" t="s">
        <v>56</v>
      </c>
      <c r="B22" s="2">
        <f t="shared" si="1"/>
        <v>40130.025000000001</v>
      </c>
      <c r="C22" s="2">
        <f>C16</f>
        <v>171</v>
      </c>
      <c r="D22" s="2">
        <f t="shared" si="2"/>
        <v>6862234.2750000004</v>
      </c>
      <c r="E22" s="7">
        <f t="shared" si="3"/>
        <v>40130.025000000001</v>
      </c>
      <c r="F22" s="7">
        <f t="shared" si="4"/>
        <v>171</v>
      </c>
      <c r="G22" s="7">
        <f t="shared" si="5"/>
        <v>6862234.2750000004</v>
      </c>
      <c r="H22" s="6">
        <f t="shared" si="10"/>
        <v>40130.025000000001</v>
      </c>
      <c r="I22" s="6">
        <f t="shared" si="6"/>
        <v>171</v>
      </c>
      <c r="J22" s="6">
        <f t="shared" si="7"/>
        <v>6862234.2750000004</v>
      </c>
      <c r="K22" s="10">
        <f t="shared" si="11"/>
        <v>40130.025000000001</v>
      </c>
      <c r="L22" s="10">
        <f t="shared" si="8"/>
        <v>171</v>
      </c>
      <c r="M22" s="10">
        <f t="shared" si="9"/>
        <v>6862234.2750000004</v>
      </c>
      <c r="N22" s="3" t="s">
        <v>82</v>
      </c>
      <c r="O22" s="3">
        <f>C16*1.1</f>
        <v>188.10000000000002</v>
      </c>
    </row>
    <row r="23" spans="1:15" x14ac:dyDescent="0.25">
      <c r="A23" s="8" t="s">
        <v>38</v>
      </c>
      <c r="B23" s="2">
        <f t="shared" si="1"/>
        <v>65815.973062500008</v>
      </c>
      <c r="C23" s="2">
        <f>C16+7.5</f>
        <v>178.5</v>
      </c>
      <c r="D23" s="2">
        <f t="shared" si="2"/>
        <v>11748151.191656252</v>
      </c>
      <c r="E23" s="7">
        <v>0</v>
      </c>
      <c r="F23" s="7">
        <f t="shared" si="4"/>
        <v>178.5</v>
      </c>
      <c r="G23" s="7">
        <f t="shared" si="5"/>
        <v>0</v>
      </c>
      <c r="H23" s="6">
        <f t="shared" si="10"/>
        <v>65815.973062500008</v>
      </c>
      <c r="I23" s="6">
        <f t="shared" si="6"/>
        <v>178.5</v>
      </c>
      <c r="J23" s="6">
        <f t="shared" si="7"/>
        <v>11748151.191656252</v>
      </c>
      <c r="K23" s="10">
        <v>0</v>
      </c>
      <c r="L23" s="10">
        <f t="shared" si="8"/>
        <v>178.5</v>
      </c>
      <c r="M23" s="10">
        <f t="shared" si="9"/>
        <v>0</v>
      </c>
      <c r="N23" s="3"/>
      <c r="O23" s="3"/>
    </row>
    <row r="24" spans="1:15" x14ac:dyDescent="0.25">
      <c r="A24" s="8" t="s">
        <v>57</v>
      </c>
      <c r="B24" s="2">
        <f t="shared" si="1"/>
        <v>51375</v>
      </c>
      <c r="C24" s="2">
        <f>C17</f>
        <v>169.60000000000002</v>
      </c>
      <c r="D24" s="2">
        <f t="shared" si="2"/>
        <v>8713200.0000000019</v>
      </c>
      <c r="E24" s="7">
        <v>0</v>
      </c>
      <c r="F24" s="7">
        <f t="shared" si="4"/>
        <v>169.60000000000002</v>
      </c>
      <c r="G24" s="7">
        <f t="shared" si="5"/>
        <v>0</v>
      </c>
      <c r="H24" s="6">
        <v>0</v>
      </c>
      <c r="I24" s="6">
        <f t="shared" si="6"/>
        <v>169.60000000000002</v>
      </c>
      <c r="J24" s="6">
        <f t="shared" si="7"/>
        <v>0</v>
      </c>
      <c r="K24" s="10">
        <f t="shared" si="11"/>
        <v>51375</v>
      </c>
      <c r="L24" s="10">
        <f t="shared" si="8"/>
        <v>169.60000000000002</v>
      </c>
      <c r="M24" s="10">
        <f t="shared" si="9"/>
        <v>8713200.0000000019</v>
      </c>
      <c r="N24" s="3"/>
      <c r="O24" s="3"/>
    </row>
    <row r="25" spans="1:15" x14ac:dyDescent="0.25">
      <c r="A25" s="8" t="s">
        <v>58</v>
      </c>
      <c r="B25" s="2">
        <f t="shared" si="1"/>
        <v>3000</v>
      </c>
      <c r="C25" s="2">
        <f>C16</f>
        <v>171</v>
      </c>
      <c r="D25" s="2">
        <f t="shared" si="2"/>
        <v>513000</v>
      </c>
      <c r="E25" s="7">
        <v>0</v>
      </c>
      <c r="F25" s="7">
        <f t="shared" si="4"/>
        <v>171</v>
      </c>
      <c r="G25" s="7">
        <f t="shared" si="5"/>
        <v>0</v>
      </c>
      <c r="H25" s="6">
        <v>0</v>
      </c>
      <c r="I25" s="6">
        <f t="shared" si="6"/>
        <v>171</v>
      </c>
      <c r="J25" s="6">
        <f t="shared" si="7"/>
        <v>0</v>
      </c>
      <c r="K25" s="10">
        <f t="shared" si="11"/>
        <v>3000</v>
      </c>
      <c r="L25" s="10">
        <f t="shared" si="8"/>
        <v>171</v>
      </c>
      <c r="M25" s="10">
        <f t="shared" si="9"/>
        <v>513000</v>
      </c>
      <c r="N25" s="3"/>
      <c r="O25" s="3"/>
    </row>
    <row r="26" spans="1:15" x14ac:dyDescent="0.25">
      <c r="A26" s="3" t="s">
        <v>74</v>
      </c>
      <c r="B26" s="15">
        <f>SUM(B16:B25)</f>
        <v>263592.74532594148</v>
      </c>
      <c r="C26" s="15"/>
      <c r="D26" s="15">
        <f>SUM(D16:D25)</f>
        <v>45494495.989629209</v>
      </c>
      <c r="E26" s="15">
        <f>SUM(E16:E25)</f>
        <v>143401.77226344147</v>
      </c>
      <c r="F26" s="15"/>
      <c r="G26" s="15">
        <f>SUM(G16:G25)</f>
        <v>24520144.797972955</v>
      </c>
      <c r="H26" s="15">
        <f>SUM(H16:H25)</f>
        <v>209217.74532594148</v>
      </c>
      <c r="I26" s="15"/>
      <c r="J26" s="15">
        <f>SUM(J16:J25)</f>
        <v>36268295.989629209</v>
      </c>
      <c r="K26" s="15">
        <f>SUM(K16:K25)</f>
        <v>197776.77226344147</v>
      </c>
      <c r="L26" s="15"/>
      <c r="M26" s="15">
        <f>SUM(M16:M25)</f>
        <v>33746344.797972955</v>
      </c>
      <c r="N26" s="9"/>
      <c r="O26" s="9"/>
    </row>
    <row r="27" spans="1:15" x14ac:dyDescent="0.25">
      <c r="B27" s="28" t="s">
        <v>80</v>
      </c>
      <c r="C27" s="29"/>
      <c r="D27" s="20">
        <f>C16-O15</f>
        <v>-1.593885060735289</v>
      </c>
    </row>
    <row r="28" spans="1:15" x14ac:dyDescent="0.25">
      <c r="C28">
        <f>C20-NonStop!E10</f>
        <v>178.14999999999998</v>
      </c>
    </row>
  </sheetData>
  <mergeCells count="5">
    <mergeCell ref="B14:D14"/>
    <mergeCell ref="E14:G14"/>
    <mergeCell ref="H14:J14"/>
    <mergeCell ref="K14:M14"/>
    <mergeCell ref="B27:C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NonStop</vt:lpstr>
      <vt:lpstr>NonStop Fuel Tank</vt:lpstr>
      <vt:lpstr>NonStop CG</vt:lpstr>
      <vt:lpstr>OneStop</vt:lpstr>
      <vt:lpstr>OneStop Fuel Tank</vt:lpstr>
      <vt:lpstr>OneStop 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Slagle</dc:creator>
  <cp:lastModifiedBy>Tommy Slagle</cp:lastModifiedBy>
  <dcterms:created xsi:type="dcterms:W3CDTF">2015-06-05T18:17:20Z</dcterms:created>
  <dcterms:modified xsi:type="dcterms:W3CDTF">2021-05-14T03:25:55Z</dcterms:modified>
</cp:coreProperties>
</file>